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hidePivotFieldList="1" defaultThemeVersion="124226"/>
  <mc:AlternateContent xmlns:mc="http://schemas.openxmlformats.org/markup-compatibility/2006">
    <mc:Choice Requires="x15">
      <x15ac:absPath xmlns:x15ac="http://schemas.microsoft.com/office/spreadsheetml/2010/11/ac" url="R:\BIDS &amp; QUOTES\ODOT BIDS\"/>
    </mc:Choice>
  </mc:AlternateContent>
  <xr:revisionPtr revIDLastSave="0" documentId="13_ncr:1_{9AA4672C-6C14-4075-94DC-BD668D754900}" xr6:coauthVersionLast="46" xr6:coauthVersionMax="46" xr10:uidLastSave="{00000000-0000-0000-0000-000000000000}"/>
  <bookViews>
    <workbookView xWindow="-120" yWindow="-120" windowWidth="29040" windowHeight="15840" tabRatio="800" activeTab="3" xr2:uid="{00000000-000D-0000-FFFF-FFFF00000000}"/>
  </bookViews>
  <sheets>
    <sheet name="Plant_Information" sheetId="2" r:id="rId1"/>
    <sheet name="CURRENT APPROVED PLANT LIST" sheetId="20" r:id="rId2"/>
    <sheet name="Aggregate, Plant Pick-up" sheetId="1" r:id="rId3"/>
    <sheet name="HAULING RATES- ODOT Locations" sheetId="4" r:id="rId4"/>
    <sheet name=" HAULING RATES- Other Locations" sheetId="5" r:id="rId5"/>
    <sheet name="Header" sheetId="18" state="hidden" r:id="rId6"/>
    <sheet name="PULL DATA" sheetId="17" state="hidden" r:id="rId7"/>
    <sheet name="Summary" sheetId="15" state="veryHidden" r:id="rId8"/>
    <sheet name="Transpose" sheetId="16" state="veryHidden" r:id="rId9"/>
    <sheet name="Lists" sheetId="7" state="veryHidden" r:id="rId10"/>
    <sheet name="PS" sheetId="9" state="hidden" r:id="rId11"/>
  </sheets>
  <definedNames>
    <definedName name="_xlnm._FilterDatabase" localSheetId="10" hidden="1">PS!$B$1:$L$622</definedName>
    <definedName name="_xlnm._FilterDatabase" localSheetId="6" hidden="1">'PULL DATA'!$Q$3:$AC$1065</definedName>
    <definedName name="Counties">Lists!$A$2:$A$90</definedName>
    <definedName name="Option">Lists!$E$2:$E$3</definedName>
    <definedName name="PlantName" localSheetId="1">'CURRENT APPROVED PLANT LIST'!$B$13</definedName>
    <definedName name="PlantName">Plant_Information!$B$8</definedName>
    <definedName name="_xlnm.Print_Titles" localSheetId="3">'HAULING RATES- ODOT Locations'!$1:$5</definedName>
    <definedName name="PSCode" localSheetId="1">'CURRENT APPROVED PLANT LIST'!$B$14</definedName>
    <definedName name="PSCode">Plant_Information!$B$9</definedName>
    <definedName name="PSP">PS!$B$1:$B$625</definedName>
    <definedName name="Slicer_CITY__STATE__ZIP1">#N/A</definedName>
    <definedName name="Slicer_COUNTY">#N/A</definedName>
    <definedName name="Slicer_DISTRICT1">#N/A</definedName>
    <definedName name="Slicer_PHYSICAL_ADDR1">#N/A</definedName>
    <definedName name="Slicer_PRODR_SUPP_NM">#N/A</definedName>
    <definedName name="Slicer_ST_PRVCE">#N/A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5" l="1"/>
  <c r="A5" i="5"/>
  <c r="B4" i="4"/>
  <c r="B5" i="4"/>
  <c r="C6" i="1"/>
  <c r="C5" i="1"/>
  <c r="A1323" i="9" l="1"/>
  <c r="A1322" i="9"/>
  <c r="A1321" i="9"/>
  <c r="A1320" i="9"/>
  <c r="A1319" i="9"/>
  <c r="A1318" i="9"/>
  <c r="A1317" i="9"/>
  <c r="A1316" i="9"/>
  <c r="A1315" i="9"/>
  <c r="A1314" i="9"/>
  <c r="A1313" i="9"/>
  <c r="A1312" i="9"/>
  <c r="A1311" i="9"/>
  <c r="A1310" i="9"/>
  <c r="A1309" i="9"/>
  <c r="A1308" i="9"/>
  <c r="A1307" i="9"/>
  <c r="A1306" i="9"/>
  <c r="A1305" i="9"/>
  <c r="A1304" i="9"/>
  <c r="A1303" i="9"/>
  <c r="A1302" i="9"/>
  <c r="A1301" i="9"/>
  <c r="A1300" i="9"/>
  <c r="A1299" i="9"/>
  <c r="A1298" i="9"/>
  <c r="A1297" i="9"/>
  <c r="A1296" i="9"/>
  <c r="A1295" i="9"/>
  <c r="A1294" i="9"/>
  <c r="A1293" i="9"/>
  <c r="A1292" i="9"/>
  <c r="A1291" i="9"/>
  <c r="A1290" i="9"/>
  <c r="A1289" i="9"/>
  <c r="A1288" i="9"/>
  <c r="A1287" i="9"/>
  <c r="A1286" i="9"/>
  <c r="A1285" i="9"/>
  <c r="A1284" i="9"/>
  <c r="A1283" i="9"/>
  <c r="A1282" i="9"/>
  <c r="A1281" i="9"/>
  <c r="A1280" i="9"/>
  <c r="A1279" i="9"/>
  <c r="A1278" i="9"/>
  <c r="A1277" i="9"/>
  <c r="A1276" i="9"/>
  <c r="A1275" i="9"/>
  <c r="A1274" i="9"/>
  <c r="A1273" i="9"/>
  <c r="A1272" i="9"/>
  <c r="A1271" i="9"/>
  <c r="A1270" i="9"/>
  <c r="A1269" i="9"/>
  <c r="A1268" i="9"/>
  <c r="A1267" i="9"/>
  <c r="A1266" i="9"/>
  <c r="A1265" i="9"/>
  <c r="A1264" i="9"/>
  <c r="A1263" i="9"/>
  <c r="A1262" i="9"/>
  <c r="A1261" i="9"/>
  <c r="A1260" i="9"/>
  <c r="A1259" i="9"/>
  <c r="A1258" i="9"/>
  <c r="A1257" i="9"/>
  <c r="A1256" i="9"/>
  <c r="A1255" i="9"/>
  <c r="A1254" i="9"/>
  <c r="A1253" i="9"/>
  <c r="A1252" i="9"/>
  <c r="A1251" i="9"/>
  <c r="A1250" i="9"/>
  <c r="A1249" i="9"/>
  <c r="A1248" i="9"/>
  <c r="A1247" i="9"/>
  <c r="A1246" i="9"/>
  <c r="A1245" i="9"/>
  <c r="A1244" i="9"/>
  <c r="A1243" i="9"/>
  <c r="A1242" i="9"/>
  <c r="A1241" i="9"/>
  <c r="A1240" i="9"/>
  <c r="A1239" i="9"/>
  <c r="A1238" i="9"/>
  <c r="A1237" i="9"/>
  <c r="A1236" i="9"/>
  <c r="A1235" i="9"/>
  <c r="A1234" i="9"/>
  <c r="A1233" i="9"/>
  <c r="A1232" i="9"/>
  <c r="A1231" i="9"/>
  <c r="A1230" i="9"/>
  <c r="A1229" i="9"/>
  <c r="A1228" i="9"/>
  <c r="A1227" i="9"/>
  <c r="A1226" i="9"/>
  <c r="A1225" i="9"/>
  <c r="A1224" i="9"/>
  <c r="A1223" i="9"/>
  <c r="A1222" i="9"/>
  <c r="A1221" i="9"/>
  <c r="A1220" i="9"/>
  <c r="A1219" i="9"/>
  <c r="A1218" i="9"/>
  <c r="A1217" i="9"/>
  <c r="A1216" i="9"/>
  <c r="A1215" i="9"/>
  <c r="A1214" i="9"/>
  <c r="A1213" i="9"/>
  <c r="A1212" i="9"/>
  <c r="A1211" i="9"/>
  <c r="A1210" i="9"/>
  <c r="A1209" i="9"/>
  <c r="A1208" i="9"/>
  <c r="A1207" i="9"/>
  <c r="A1206" i="9"/>
  <c r="A1205" i="9"/>
  <c r="A1204" i="9"/>
  <c r="A1203" i="9"/>
  <c r="A1202" i="9"/>
  <c r="A1201" i="9"/>
  <c r="A1200" i="9"/>
  <c r="A1199" i="9"/>
  <c r="A1198" i="9"/>
  <c r="A1197" i="9"/>
  <c r="A1196" i="9"/>
  <c r="A1195" i="9"/>
  <c r="A1194" i="9"/>
  <c r="A1193" i="9"/>
  <c r="A1192" i="9"/>
  <c r="A1191" i="9"/>
  <c r="A1190" i="9"/>
  <c r="A1189" i="9"/>
  <c r="A1188" i="9"/>
  <c r="A1187" i="9"/>
  <c r="A1186" i="9"/>
  <c r="A1185" i="9"/>
  <c r="A1184" i="9"/>
  <c r="A1183" i="9"/>
  <c r="A1182" i="9"/>
  <c r="A1181" i="9"/>
  <c r="A1180" i="9"/>
  <c r="A1179" i="9"/>
  <c r="A1178" i="9"/>
  <c r="A1177" i="9"/>
  <c r="A1176" i="9"/>
  <c r="A1175" i="9"/>
  <c r="A1174" i="9"/>
  <c r="A1173" i="9"/>
  <c r="A1172" i="9"/>
  <c r="A1171" i="9"/>
  <c r="A1170" i="9"/>
  <c r="A1169" i="9"/>
  <c r="A1168" i="9"/>
  <c r="A1167" i="9"/>
  <c r="A1166" i="9"/>
  <c r="A1165" i="9"/>
  <c r="A1164" i="9"/>
  <c r="A1163" i="9"/>
  <c r="A1162" i="9"/>
  <c r="A1161" i="9"/>
  <c r="A1160" i="9"/>
  <c r="A1159" i="9"/>
  <c r="A1158" i="9"/>
  <c r="A1157" i="9"/>
  <c r="A1156" i="9"/>
  <c r="A1155" i="9"/>
  <c r="A1154" i="9"/>
  <c r="A1153" i="9"/>
  <c r="A1152" i="9"/>
  <c r="A1151" i="9"/>
  <c r="A1150" i="9"/>
  <c r="A1149" i="9"/>
  <c r="A1148" i="9"/>
  <c r="A1147" i="9"/>
  <c r="A1146" i="9"/>
  <c r="A1145" i="9"/>
  <c r="A1144" i="9"/>
  <c r="A1143" i="9"/>
  <c r="A1142" i="9"/>
  <c r="A1141" i="9"/>
  <c r="A1140" i="9"/>
  <c r="A1139" i="9"/>
  <c r="A1138" i="9"/>
  <c r="A1137" i="9"/>
  <c r="A1136" i="9"/>
  <c r="A1135" i="9"/>
  <c r="A1134" i="9"/>
  <c r="A1133" i="9"/>
  <c r="A1132" i="9"/>
  <c r="A1131" i="9"/>
  <c r="A1130" i="9"/>
  <c r="A1129" i="9"/>
  <c r="A1128" i="9"/>
  <c r="A1127" i="9"/>
  <c r="A1126" i="9"/>
  <c r="A1125" i="9"/>
  <c r="A1124" i="9"/>
  <c r="A1123" i="9"/>
  <c r="A1122" i="9"/>
  <c r="A1121" i="9"/>
  <c r="A1120" i="9"/>
  <c r="A1119" i="9"/>
  <c r="A1118" i="9"/>
  <c r="A1117" i="9"/>
  <c r="A1116" i="9"/>
  <c r="A1115" i="9"/>
  <c r="A1114" i="9"/>
  <c r="A1113" i="9"/>
  <c r="A1112" i="9"/>
  <c r="A1111" i="9"/>
  <c r="A1110" i="9"/>
  <c r="A1109" i="9"/>
  <c r="A1108" i="9"/>
  <c r="A1107" i="9"/>
  <c r="A1106" i="9"/>
  <c r="A1105" i="9"/>
  <c r="A1104" i="9"/>
  <c r="A1103" i="9"/>
  <c r="A1102" i="9"/>
  <c r="A1101" i="9"/>
  <c r="A1100" i="9"/>
  <c r="A1099" i="9"/>
  <c r="A1098" i="9"/>
  <c r="A1097" i="9"/>
  <c r="A1096" i="9"/>
  <c r="A1095" i="9"/>
  <c r="A1094" i="9"/>
  <c r="A1093" i="9"/>
  <c r="A1092" i="9"/>
  <c r="A1091" i="9"/>
  <c r="A1090" i="9"/>
  <c r="A1089" i="9"/>
  <c r="A1088" i="9"/>
  <c r="A1087" i="9"/>
  <c r="A1086" i="9"/>
  <c r="A1085" i="9"/>
  <c r="A1084" i="9"/>
  <c r="A1083" i="9"/>
  <c r="A1082" i="9"/>
  <c r="A1081" i="9"/>
  <c r="A1080" i="9"/>
  <c r="A1079" i="9"/>
  <c r="A1078" i="9"/>
  <c r="A1077" i="9"/>
  <c r="A1076" i="9"/>
  <c r="A1075" i="9"/>
  <c r="A1074" i="9"/>
  <c r="A1073" i="9"/>
  <c r="A1072" i="9"/>
  <c r="A1071" i="9"/>
  <c r="A1070" i="9"/>
  <c r="A1069" i="9"/>
  <c r="A1068" i="9"/>
  <c r="A1067" i="9"/>
  <c r="A1066" i="9"/>
  <c r="A1065" i="9"/>
  <c r="A1064" i="9"/>
  <c r="A1063" i="9"/>
  <c r="A1062" i="9"/>
  <c r="A1061" i="9"/>
  <c r="A1060" i="9"/>
  <c r="A1059" i="9"/>
  <c r="A1058" i="9"/>
  <c r="A1057" i="9"/>
  <c r="A1056" i="9"/>
  <c r="A1055" i="9"/>
  <c r="A1054" i="9"/>
  <c r="A1053" i="9"/>
  <c r="A1052" i="9"/>
  <c r="A1051" i="9"/>
  <c r="A1050" i="9"/>
  <c r="A1049" i="9"/>
  <c r="A1048" i="9"/>
  <c r="A1047" i="9"/>
  <c r="A1046" i="9"/>
  <c r="A1045" i="9"/>
  <c r="A1044" i="9"/>
  <c r="A1043" i="9"/>
  <c r="A1042" i="9"/>
  <c r="A1041" i="9"/>
  <c r="A1040" i="9"/>
  <c r="A1039" i="9"/>
  <c r="A1038" i="9"/>
  <c r="A1037" i="9"/>
  <c r="A1036" i="9"/>
  <c r="A1035" i="9"/>
  <c r="A1034" i="9"/>
  <c r="A1033" i="9"/>
  <c r="A1032" i="9"/>
  <c r="A1031"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E698" i="9"/>
  <c r="B12" i="2"/>
  <c r="B11" i="2"/>
  <c r="B10" i="2"/>
  <c r="B9" i="2"/>
  <c r="B13" i="2"/>
  <c r="B14" i="2"/>
  <c r="AI16" i="17" l="1"/>
  <c r="AA5" i="17"/>
  <c r="AI15" i="17"/>
  <c r="AJ16" i="17"/>
  <c r="AJ15" i="17"/>
  <c r="AB5" i="17"/>
  <c r="H5" i="17"/>
  <c r="AB1045" i="17"/>
  <c r="AB1041" i="17"/>
  <c r="AB1037" i="17"/>
  <c r="AB1033" i="17"/>
  <c r="AB1029" i="17"/>
  <c r="AB1025" i="17"/>
  <c r="AB1021" i="17"/>
  <c r="AB1017" i="17"/>
  <c r="AB1013" i="17"/>
  <c r="AB1009" i="17"/>
  <c r="AB1005" i="17"/>
  <c r="AB1001" i="17"/>
  <c r="AB997" i="17"/>
  <c r="AB993" i="17"/>
  <c r="AB989" i="17"/>
  <c r="AB985" i="17"/>
  <c r="AB981" i="17"/>
  <c r="AB977" i="17"/>
  <c r="AB973" i="17"/>
  <c r="AB969" i="17"/>
  <c r="AB965" i="17"/>
  <c r="AB961" i="17"/>
  <c r="AB957" i="17"/>
  <c r="AB1046" i="17"/>
  <c r="AB1042" i="17"/>
  <c r="AB1038" i="17"/>
  <c r="AB1034" i="17"/>
  <c r="AB1030" i="17"/>
  <c r="AB1026" i="17"/>
  <c r="AB1022" i="17"/>
  <c r="AB1018" i="17"/>
  <c r="AB1014" i="17"/>
  <c r="AB1010" i="17"/>
  <c r="AB1006" i="17"/>
  <c r="AB1002" i="17"/>
  <c r="AB998" i="17"/>
  <c r="AB994" i="17"/>
  <c r="AB990" i="17"/>
  <c r="AB986" i="17"/>
  <c r="AB982" i="17"/>
  <c r="AB978" i="17"/>
  <c r="AB974" i="17"/>
  <c r="AB970" i="17"/>
  <c r="AB966" i="17"/>
  <c r="AB962" i="17"/>
  <c r="AB958" i="17"/>
  <c r="AB954" i="17"/>
  <c r="AB950" i="17"/>
  <c r="AB946" i="17"/>
  <c r="AB942" i="17"/>
  <c r="AB938" i="17"/>
  <c r="AB1048" i="17"/>
  <c r="AB1044" i="17"/>
  <c r="AB1040" i="17"/>
  <c r="AB1036" i="17"/>
  <c r="AB1032" i="17"/>
  <c r="AB1028" i="17"/>
  <c r="AB1024" i="17"/>
  <c r="AB1020" i="17"/>
  <c r="AB1016" i="17"/>
  <c r="AB1012" i="17"/>
  <c r="AB1003" i="17"/>
  <c r="AB984" i="17"/>
  <c r="AB971" i="17"/>
  <c r="AB933" i="17"/>
  <c r="AB929" i="17"/>
  <c r="AB925" i="17"/>
  <c r="AB921" i="17"/>
  <c r="AB917" i="17"/>
  <c r="AB913" i="17"/>
  <c r="AB909" i="17"/>
  <c r="AB905" i="17"/>
  <c r="AB901" i="17"/>
  <c r="AB897" i="17"/>
  <c r="AB893" i="17"/>
  <c r="AB1007" i="17"/>
  <c r="AB988" i="17"/>
  <c r="AB975" i="17"/>
  <c r="AB956" i="17"/>
  <c r="AB943" i="17"/>
  <c r="AB940" i="17"/>
  <c r="AB937" i="17"/>
  <c r="AB1000" i="17"/>
  <c r="AB987" i="17"/>
  <c r="AB968" i="17"/>
  <c r="AB955" i="17"/>
  <c r="AB947" i="17"/>
  <c r="AB944" i="17"/>
  <c r="AB941" i="17"/>
  <c r="AB935" i="17"/>
  <c r="AB931" i="17"/>
  <c r="AB927" i="17"/>
  <c r="AB923" i="17"/>
  <c r="AB919" i="17"/>
  <c r="AB915" i="17"/>
  <c r="AB911" i="17"/>
  <c r="AB907" i="17"/>
  <c r="AB903" i="17"/>
  <c r="AB899" i="17"/>
  <c r="AB991" i="17"/>
  <c r="AB964" i="17"/>
  <c r="AB939" i="17"/>
  <c r="AB930" i="17"/>
  <c r="AB928" i="17"/>
  <c r="AB898" i="17"/>
  <c r="AB895" i="17"/>
  <c r="AB892" i="17"/>
  <c r="AB888" i="17"/>
  <c r="AB884" i="17"/>
  <c r="AB880" i="17"/>
  <c r="AB876" i="17"/>
  <c r="AB872" i="17"/>
  <c r="AB868" i="17"/>
  <c r="AB864" i="17"/>
  <c r="AB860" i="17"/>
  <c r="AB856" i="17"/>
  <c r="AB852" i="17"/>
  <c r="AB848" i="17"/>
  <c r="AB844" i="17"/>
  <c r="AB840" i="17"/>
  <c r="AB1011" i="17"/>
  <c r="AB1008" i="17"/>
  <c r="AB967" i="17"/>
  <c r="AB960" i="17"/>
  <c r="AB951" i="17"/>
  <c r="AB934" i="17"/>
  <c r="AB932" i="17"/>
  <c r="AB902" i="17"/>
  <c r="AB900" i="17"/>
  <c r="AB1035" i="17"/>
  <c r="AB1031" i="17"/>
  <c r="AB979" i="17"/>
  <c r="AB976" i="17"/>
  <c r="AB914" i="17"/>
  <c r="AB912" i="17"/>
  <c r="AB890" i="17"/>
  <c r="AB886" i="17"/>
  <c r="AB882" i="17"/>
  <c r="AB878" i="17"/>
  <c r="AB874" i="17"/>
  <c r="AB870" i="17"/>
  <c r="AB866" i="17"/>
  <c r="AB862" i="17"/>
  <c r="AB858" i="17"/>
  <c r="AB854" i="17"/>
  <c r="AB995" i="17"/>
  <c r="AB948" i="17"/>
  <c r="AB936" i="17"/>
  <c r="AB926" i="17"/>
  <c r="AB896" i="17"/>
  <c r="AB889" i="17"/>
  <c r="AB887" i="17"/>
  <c r="AB857" i="17"/>
  <c r="AB855" i="17"/>
  <c r="AB836" i="17"/>
  <c r="AB832" i="17"/>
  <c r="AB828" i="17"/>
  <c r="AB824" i="17"/>
  <c r="AB820" i="17"/>
  <c r="AB816" i="17"/>
  <c r="AB812" i="17"/>
  <c r="AB808" i="17"/>
  <c r="AB804" i="17"/>
  <c r="AB800" i="17"/>
  <c r="AB796" i="17"/>
  <c r="AB983" i="17"/>
  <c r="AB972" i="17"/>
  <c r="AB922" i="17"/>
  <c r="AB891" i="17"/>
  <c r="AB861" i="17"/>
  <c r="AB859" i="17"/>
  <c r="AB849" i="17"/>
  <c r="AB846" i="17"/>
  <c r="AB843" i="17"/>
  <c r="AB1043" i="17"/>
  <c r="AB992" i="17"/>
  <c r="AB959" i="17"/>
  <c r="AB873" i="17"/>
  <c r="AB871" i="17"/>
  <c r="AB850" i="17"/>
  <c r="AB847" i="17"/>
  <c r="AB838" i="17"/>
  <c r="AB834" i="17"/>
  <c r="AB830" i="17"/>
  <c r="AB826" i="17"/>
  <c r="AB822" i="17"/>
  <c r="AB818" i="17"/>
  <c r="AB814" i="17"/>
  <c r="AB810" i="17"/>
  <c r="AB1047" i="17"/>
  <c r="AB1023" i="17"/>
  <c r="AB1019" i="17"/>
  <c r="AB904" i="17"/>
  <c r="AB877" i="17"/>
  <c r="AB867" i="17"/>
  <c r="AB821" i="17"/>
  <c r="AB819" i="17"/>
  <c r="AB797" i="17"/>
  <c r="AB999" i="17"/>
  <c r="AB949" i="17"/>
  <c r="AB920" i="17"/>
  <c r="AB894" i="17"/>
  <c r="AB863" i="17"/>
  <c r="AB853" i="17"/>
  <c r="AB845" i="17"/>
  <c r="AB825" i="17"/>
  <c r="AB823" i="17"/>
  <c r="AB806" i="17"/>
  <c r="AB803" i="17"/>
  <c r="AB794" i="17"/>
  <c r="AB790" i="17"/>
  <c r="AB786" i="17"/>
  <c r="AB782" i="17"/>
  <c r="AB778" i="17"/>
  <c r="AB774" i="17"/>
  <c r="AB770" i="17"/>
  <c r="AB766" i="17"/>
  <c r="AB762" i="17"/>
  <c r="AB758" i="17"/>
  <c r="AB754" i="17"/>
  <c r="AB750" i="17"/>
  <c r="AB746" i="17"/>
  <c r="AB742" i="17"/>
  <c r="AB738" i="17"/>
  <c r="AB734" i="17"/>
  <c r="AB730" i="17"/>
  <c r="AB726" i="17"/>
  <c r="AB722" i="17"/>
  <c r="AB718" i="17"/>
  <c r="AB714" i="17"/>
  <c r="AB710" i="17"/>
  <c r="AB706" i="17"/>
  <c r="AB702" i="17"/>
  <c r="AB698" i="17"/>
  <c r="AB694" i="17"/>
  <c r="AB690" i="17"/>
  <c r="AB686" i="17"/>
  <c r="AB682" i="17"/>
  <c r="AB678" i="17"/>
  <c r="AB674" i="17"/>
  <c r="AB670" i="17"/>
  <c r="AB666" i="17"/>
  <c r="AB662" i="17"/>
  <c r="AB658" i="17"/>
  <c r="AB654" i="17"/>
  <c r="AB650" i="17"/>
  <c r="AB1039" i="17"/>
  <c r="AB1027" i="17"/>
  <c r="AB1004" i="17"/>
  <c r="AB996" i="17"/>
  <c r="AB879" i="17"/>
  <c r="AB865" i="17"/>
  <c r="AB837" i="17"/>
  <c r="AB835" i="17"/>
  <c r="AB945" i="17"/>
  <c r="AB908" i="17"/>
  <c r="AB842" i="17"/>
  <c r="AB811" i="17"/>
  <c r="AB795" i="17"/>
  <c r="AB793" i="17"/>
  <c r="AB780" i="17"/>
  <c r="AB763" i="17"/>
  <c r="AB761" i="17"/>
  <c r="AB748" i="17"/>
  <c r="AB731" i="17"/>
  <c r="AB729" i="17"/>
  <c r="AB716" i="17"/>
  <c r="AB699" i="17"/>
  <c r="AB697" i="17"/>
  <c r="AB684" i="17"/>
  <c r="AB667" i="17"/>
  <c r="AB665" i="17"/>
  <c r="AB952" i="17"/>
  <c r="AB924" i="17"/>
  <c r="AB916" i="17"/>
  <c r="AB906" i="17"/>
  <c r="AB881" i="17"/>
  <c r="AB875" i="17"/>
  <c r="AB841" i="17"/>
  <c r="AB827" i="17"/>
  <c r="AB817" i="17"/>
  <c r="AB788" i="17"/>
  <c r="AB771" i="17"/>
  <c r="AB769" i="17"/>
  <c r="AB756" i="17"/>
  <c r="AB739" i="17"/>
  <c r="AB737" i="17"/>
  <c r="AB724" i="17"/>
  <c r="AB707" i="17"/>
  <c r="AB705" i="17"/>
  <c r="AB692" i="17"/>
  <c r="AB885" i="17"/>
  <c r="AB833" i="17"/>
  <c r="AB809" i="17"/>
  <c r="AB801" i="17"/>
  <c r="AB779" i="17"/>
  <c r="AB777" i="17"/>
  <c r="AB764" i="17"/>
  <c r="AB747" i="17"/>
  <c r="AB745" i="17"/>
  <c r="AB732" i="17"/>
  <c r="AB715" i="17"/>
  <c r="AB713" i="17"/>
  <c r="AB700" i="17"/>
  <c r="AB953" i="17"/>
  <c r="AB910" i="17"/>
  <c r="AB869" i="17"/>
  <c r="AB839" i="17"/>
  <c r="AB781" i="17"/>
  <c r="AB740" i="17"/>
  <c r="AB723" i="17"/>
  <c r="AB689" i="17"/>
  <c r="AB673" i="17"/>
  <c r="AB668" i="17"/>
  <c r="AB661" i="17"/>
  <c r="AB647" i="17"/>
  <c r="AB643" i="17"/>
  <c r="AB639" i="17"/>
  <c r="AB635" i="17"/>
  <c r="AB631" i="17"/>
  <c r="AB851" i="17"/>
  <c r="AB802" i="17"/>
  <c r="AB798" i="17"/>
  <c r="AB791" i="17"/>
  <c r="AB1015" i="17"/>
  <c r="AB918" i="17"/>
  <c r="AB805" i="17"/>
  <c r="AB783" i="17"/>
  <c r="AB773" i="17"/>
  <c r="AB749" i="17"/>
  <c r="AB708" i="17"/>
  <c r="AB691" i="17"/>
  <c r="AB677" i="17"/>
  <c r="AB672" i="17"/>
  <c r="AB655" i="17"/>
  <c r="AB653" i="17"/>
  <c r="AB651" i="17"/>
  <c r="AB980" i="17"/>
  <c r="AB883" i="17"/>
  <c r="AB831" i="17"/>
  <c r="AB815" i="17"/>
  <c r="AB776" i="17"/>
  <c r="AB759" i="17"/>
  <c r="AB752" i="17"/>
  <c r="AB735" i="17"/>
  <c r="AB728" i="17"/>
  <c r="AB725" i="17"/>
  <c r="AB711" i="17"/>
  <c r="AB704" i="17"/>
  <c r="AB701" i="17"/>
  <c r="AB687" i="17"/>
  <c r="AB679" i="17"/>
  <c r="AB649" i="17"/>
  <c r="AB645" i="17"/>
  <c r="AB641" i="17"/>
  <c r="AB637" i="17"/>
  <c r="AB633" i="17"/>
  <c r="AB629" i="17"/>
  <c r="AB963" i="17"/>
  <c r="AB772" i="17"/>
  <c r="AB755" i="17"/>
  <c r="AB721" i="17"/>
  <c r="AB669" i="17"/>
  <c r="AB664" i="17"/>
  <c r="AB657" i="17"/>
  <c r="AB807" i="17"/>
  <c r="AB799" i="17"/>
  <c r="AB785" i="17"/>
  <c r="AB744" i="17"/>
  <c r="AB727" i="17"/>
  <c r="AB720" i="17"/>
  <c r="AB703" i="17"/>
  <c r="AB696" i="17"/>
  <c r="AB693" i="17"/>
  <c r="AB683" i="17"/>
  <c r="AB656" i="17"/>
  <c r="AB813" i="17"/>
  <c r="AB787" i="17"/>
  <c r="AB768" i="17"/>
  <c r="AB741" i="17"/>
  <c r="AB767" i="17"/>
  <c r="AB695" i="17"/>
  <c r="AB685" i="17"/>
  <c r="AB659" i="17"/>
  <c r="AB634" i="17"/>
  <c r="AB627" i="17"/>
  <c r="AB621" i="17"/>
  <c r="AB784" i="17"/>
  <c r="AB775" i="17"/>
  <c r="AB757" i="17"/>
  <c r="AB712" i="17"/>
  <c r="AB671" i="17"/>
  <c r="AB652" i="17"/>
  <c r="AB648" i="17"/>
  <c r="AB630" i="17"/>
  <c r="AB619" i="17"/>
  <c r="AB616" i="17"/>
  <c r="AB612" i="17"/>
  <c r="AB608" i="17"/>
  <c r="AB604" i="17"/>
  <c r="AB600" i="17"/>
  <c r="AB596" i="17"/>
  <c r="AB592" i="17"/>
  <c r="AB588" i="17"/>
  <c r="AB584" i="17"/>
  <c r="AB580" i="17"/>
  <c r="AB576" i="17"/>
  <c r="AB572" i="17"/>
  <c r="AB568" i="17"/>
  <c r="AB564" i="17"/>
  <c r="AB765" i="17"/>
  <c r="AB719" i="17"/>
  <c r="AB644" i="17"/>
  <c r="AB736" i="17"/>
  <c r="AB709" i="17"/>
  <c r="AB676" i="17"/>
  <c r="AB663" i="17"/>
  <c r="AB640" i="17"/>
  <c r="AB626" i="17"/>
  <c r="AB624" i="17"/>
  <c r="AB617" i="17"/>
  <c r="AB613" i="17"/>
  <c r="AB609" i="17"/>
  <c r="AB605" i="17"/>
  <c r="AB601" i="17"/>
  <c r="AB597" i="17"/>
  <c r="AB593" i="17"/>
  <c r="AB589" i="17"/>
  <c r="AB585" i="17"/>
  <c r="AB581" i="17"/>
  <c r="AB577" i="17"/>
  <c r="AB573" i="17"/>
  <c r="AB569" i="17"/>
  <c r="AB565" i="17"/>
  <c r="AB561" i="17"/>
  <c r="AB557" i="17"/>
  <c r="AB553" i="17"/>
  <c r="AB549" i="17"/>
  <c r="AB545" i="17"/>
  <c r="AB541" i="17"/>
  <c r="AB537" i="17"/>
  <c r="AB533" i="17"/>
  <c r="AB529" i="17"/>
  <c r="AB525" i="17"/>
  <c r="AB521" i="17"/>
  <c r="AB517" i="17"/>
  <c r="AB513" i="17"/>
  <c r="AB509" i="17"/>
  <c r="AB505" i="17"/>
  <c r="AB501" i="17"/>
  <c r="AB497" i="17"/>
  <c r="AB493" i="17"/>
  <c r="AB489" i="17"/>
  <c r="AB485" i="17"/>
  <c r="AB481" i="17"/>
  <c r="AB477" i="17"/>
  <c r="AB473" i="17"/>
  <c r="AB469" i="17"/>
  <c r="AB465" i="17"/>
  <c r="AB461" i="17"/>
  <c r="AB457" i="17"/>
  <c r="AB453" i="17"/>
  <c r="AB449" i="17"/>
  <c r="AB445" i="17"/>
  <c r="AB441" i="17"/>
  <c r="AB437" i="17"/>
  <c r="AB433" i="17"/>
  <c r="AB829" i="17"/>
  <c r="AB792" i="17"/>
  <c r="AB717" i="17"/>
  <c r="AB760" i="17"/>
  <c r="AB751" i="17"/>
  <c r="AB733" i="17"/>
  <c r="AB688" i="17"/>
  <c r="AB680" i="17"/>
  <c r="AB642" i="17"/>
  <c r="AB628" i="17"/>
  <c r="AB618" i="17"/>
  <c r="AB625" i="17"/>
  <c r="AB620" i="17"/>
  <c r="AB598" i="17"/>
  <c r="AB591" i="17"/>
  <c r="AB570" i="17"/>
  <c r="AB558" i="17"/>
  <c r="AB556" i="17"/>
  <c r="AB543" i="17"/>
  <c r="AB526" i="17"/>
  <c r="AB524" i="17"/>
  <c r="AB511" i="17"/>
  <c r="AB632" i="17"/>
  <c r="AB594" i="17"/>
  <c r="AB587" i="17"/>
  <c r="AB567" i="17"/>
  <c r="AB562" i="17"/>
  <c r="AB560" i="17"/>
  <c r="AB547" i="17"/>
  <c r="AB530" i="17"/>
  <c r="AB528" i="17"/>
  <c r="AB515" i="17"/>
  <c r="AB498" i="17"/>
  <c r="AB496" i="17"/>
  <c r="AB483" i="17"/>
  <c r="AB466" i="17"/>
  <c r="AB464" i="17"/>
  <c r="AB451" i="17"/>
  <c r="AB789" i="17"/>
  <c r="AB615" i="17"/>
  <c r="AB590" i="17"/>
  <c r="AB583" i="17"/>
  <c r="AB551" i="17"/>
  <c r="AB534" i="17"/>
  <c r="AB532" i="17"/>
  <c r="AB519" i="17"/>
  <c r="AB502" i="17"/>
  <c r="AB500" i="17"/>
  <c r="AB487" i="17"/>
  <c r="AB470" i="17"/>
  <c r="AB468" i="17"/>
  <c r="AB455" i="17"/>
  <c r="AB438" i="17"/>
  <c r="AB436" i="17"/>
  <c r="AB681" i="17"/>
  <c r="AB623" i="17"/>
  <c r="AB611" i="17"/>
  <c r="AB586" i="17"/>
  <c r="AB579" i="17"/>
  <c r="AB555" i="17"/>
  <c r="AB538" i="17"/>
  <c r="AB536" i="17"/>
  <c r="AB523" i="17"/>
  <c r="AB506" i="17"/>
  <c r="AB504" i="17"/>
  <c r="AB491" i="17"/>
  <c r="AB474" i="17"/>
  <c r="AB472" i="17"/>
  <c r="AB459" i="17"/>
  <c r="AB442" i="17"/>
  <c r="AB440" i="17"/>
  <c r="AB434" i="17"/>
  <c r="AB428" i="17"/>
  <c r="AB424" i="17"/>
  <c r="AB420" i="17"/>
  <c r="AB416" i="17"/>
  <c r="AB412" i="17"/>
  <c r="AB408" i="17"/>
  <c r="AB404" i="17"/>
  <c r="AB400" i="17"/>
  <c r="AB396" i="17"/>
  <c r="AB392" i="17"/>
  <c r="AB388" i="17"/>
  <c r="AB384" i="17"/>
  <c r="AB380" i="17"/>
  <c r="AB376" i="17"/>
  <c r="AB372" i="17"/>
  <c r="AB368" i="17"/>
  <c r="AB364" i="17"/>
  <c r="AB360" i="17"/>
  <c r="AB356" i="17"/>
  <c r="AB352" i="17"/>
  <c r="AB348" i="17"/>
  <c r="AB344" i="17"/>
  <c r="AB340" i="17"/>
  <c r="AB336" i="17"/>
  <c r="AB332" i="17"/>
  <c r="AB638" i="17"/>
  <c r="AB622" i="17"/>
  <c r="AB614" i="17"/>
  <c r="AB607" i="17"/>
  <c r="AB582" i="17"/>
  <c r="AB575" i="17"/>
  <c r="AB566" i="17"/>
  <c r="AB559" i="17"/>
  <c r="AB542" i="17"/>
  <c r="AB540" i="17"/>
  <c r="AB527" i="17"/>
  <c r="AB510" i="17"/>
  <c r="AB508" i="17"/>
  <c r="AB675" i="17"/>
  <c r="AB660" i="17"/>
  <c r="AB646" i="17"/>
  <c r="AB636" i="17"/>
  <c r="AB610" i="17"/>
  <c r="AB603" i="17"/>
  <c r="AB578" i="17"/>
  <c r="AB571" i="17"/>
  <c r="AB563" i="17"/>
  <c r="AB546" i="17"/>
  <c r="AB544" i="17"/>
  <c r="AB531" i="17"/>
  <c r="AB514" i="17"/>
  <c r="AB512" i="17"/>
  <c r="AB499" i="17"/>
  <c r="AB482" i="17"/>
  <c r="AB480" i="17"/>
  <c r="AB467" i="17"/>
  <c r="AB450" i="17"/>
  <c r="AB448" i="17"/>
  <c r="AB429" i="17"/>
  <c r="AB425" i="17"/>
  <c r="AB421" i="17"/>
  <c r="AB417" i="17"/>
  <c r="AB413" i="17"/>
  <c r="AB409" i="17"/>
  <c r="AB405" i="17"/>
  <c r="AB401" i="17"/>
  <c r="AB397" i="17"/>
  <c r="AB393" i="17"/>
  <c r="AB389" i="17"/>
  <c r="AB385" i="17"/>
  <c r="AB381" i="17"/>
  <c r="AB377" i="17"/>
  <c r="AB373" i="17"/>
  <c r="AB369" i="17"/>
  <c r="AB365" i="17"/>
  <c r="AB361" i="17"/>
  <c r="AB357" i="17"/>
  <c r="AB353" i="17"/>
  <c r="AB743" i="17"/>
  <c r="AB602" i="17"/>
  <c r="AB595" i="17"/>
  <c r="AB554" i="17"/>
  <c r="AB552" i="17"/>
  <c r="AB539" i="17"/>
  <c r="AB522" i="17"/>
  <c r="AB520" i="17"/>
  <c r="AB507" i="17"/>
  <c r="AB490" i="17"/>
  <c r="AB488" i="17"/>
  <c r="AB475" i="17"/>
  <c r="AB458" i="17"/>
  <c r="AB456" i="17"/>
  <c r="AB443" i="17"/>
  <c r="AB430" i="17"/>
  <c r="AB426" i="17"/>
  <c r="AB422" i="17"/>
  <c r="AB418" i="17"/>
  <c r="AB414" i="17"/>
  <c r="AB410" i="17"/>
  <c r="AB406" i="17"/>
  <c r="AB402" i="17"/>
  <c r="AB398" i="17"/>
  <c r="AB394" i="17"/>
  <c r="AB390" i="17"/>
  <c r="AB386" i="17"/>
  <c r="AB382" i="17"/>
  <c r="AB378" i="17"/>
  <c r="AB374" i="17"/>
  <c r="AB370" i="17"/>
  <c r="AB366" i="17"/>
  <c r="AB362" i="17"/>
  <c r="AB358" i="17"/>
  <c r="AB354" i="17"/>
  <c r="AB350" i="17"/>
  <c r="AB346" i="17"/>
  <c r="AB342" i="17"/>
  <c r="AB338" i="17"/>
  <c r="AB334" i="17"/>
  <c r="AB330" i="17"/>
  <c r="AB753" i="17"/>
  <c r="AB407" i="17"/>
  <c r="AB375" i="17"/>
  <c r="AB337" i="17"/>
  <c r="AB324" i="17"/>
  <c r="AB320" i="17"/>
  <c r="AB316" i="17"/>
  <c r="AB312" i="17"/>
  <c r="AB308" i="17"/>
  <c r="AB304" i="17"/>
  <c r="AB494" i="17"/>
  <c r="AB471" i="17"/>
  <c r="AB460" i="17"/>
  <c r="AB454" i="17"/>
  <c r="AB379" i="17"/>
  <c r="AB335" i="17"/>
  <c r="AB328" i="17"/>
  <c r="AB476" i="17"/>
  <c r="AB427" i="17"/>
  <c r="AB419" i="17"/>
  <c r="AB411" i="17"/>
  <c r="AB383" i="17"/>
  <c r="AB351" i="17"/>
  <c r="AB349" i="17"/>
  <c r="AB333" i="17"/>
  <c r="AB325" i="17"/>
  <c r="AB321" i="17"/>
  <c r="AB317" i="17"/>
  <c r="AB313" i="17"/>
  <c r="AB606" i="17"/>
  <c r="AB447" i="17"/>
  <c r="AB432" i="17"/>
  <c r="AB387" i="17"/>
  <c r="AB355" i="17"/>
  <c r="AB347" i="17"/>
  <c r="AB331" i="17"/>
  <c r="AB574" i="17"/>
  <c r="AB503" i="17"/>
  <c r="AB492" i="17"/>
  <c r="AB486" i="17"/>
  <c r="AB463" i="17"/>
  <c r="AB452" i="17"/>
  <c r="AB446" i="17"/>
  <c r="AB435" i="17"/>
  <c r="AB391" i="17"/>
  <c r="AB359" i="17"/>
  <c r="AB345" i="17"/>
  <c r="AB329" i="17"/>
  <c r="AB326" i="17"/>
  <c r="AB322" i="17"/>
  <c r="AB318" i="17"/>
  <c r="AB314" i="17"/>
  <c r="AB310" i="17"/>
  <c r="AB306" i="17"/>
  <c r="AB302" i="17"/>
  <c r="AB298" i="17"/>
  <c r="AB294" i="17"/>
  <c r="AB290" i="17"/>
  <c r="AB286" i="17"/>
  <c r="AB282" i="17"/>
  <c r="AB278" i="17"/>
  <c r="AB274" i="17"/>
  <c r="AB270" i="17"/>
  <c r="AB266" i="17"/>
  <c r="AB262" i="17"/>
  <c r="AB258" i="17"/>
  <c r="AB254" i="17"/>
  <c r="AB250" i="17"/>
  <c r="AB246" i="17"/>
  <c r="AB242" i="17"/>
  <c r="AB238" i="17"/>
  <c r="AB234" i="17"/>
  <c r="AB230" i="17"/>
  <c r="AB226" i="17"/>
  <c r="AB222" i="17"/>
  <c r="AB218" i="17"/>
  <c r="AB214" i="17"/>
  <c r="AB210" i="17"/>
  <c r="AB206" i="17"/>
  <c r="AB202" i="17"/>
  <c r="AB198" i="17"/>
  <c r="AB194" i="17"/>
  <c r="AB190" i="17"/>
  <c r="AB186" i="17"/>
  <c r="AB182" i="17"/>
  <c r="AB178" i="17"/>
  <c r="AB174" i="17"/>
  <c r="AB170" i="17"/>
  <c r="AB166" i="17"/>
  <c r="AB599" i="17"/>
  <c r="AB535" i="17"/>
  <c r="AB518" i="17"/>
  <c r="AB395" i="17"/>
  <c r="AB363" i="17"/>
  <c r="AB343" i="17"/>
  <c r="AB548" i="17"/>
  <c r="AB495" i="17"/>
  <c r="AB484" i="17"/>
  <c r="AB478" i="17"/>
  <c r="AB444" i="17"/>
  <c r="AB403" i="17"/>
  <c r="AB371" i="17"/>
  <c r="AB339" i="17"/>
  <c r="AB399" i="17"/>
  <c r="AB292" i="17"/>
  <c r="AB275" i="17"/>
  <c r="AB273" i="17"/>
  <c r="AB260" i="17"/>
  <c r="AB243" i="17"/>
  <c r="AB241" i="17"/>
  <c r="AB228" i="17"/>
  <c r="AB211" i="17"/>
  <c r="AB209" i="17"/>
  <c r="AB196" i="17"/>
  <c r="AB183" i="17"/>
  <c r="AB167" i="17"/>
  <c r="AB439" i="17"/>
  <c r="AB415" i="17"/>
  <c r="AB305" i="17"/>
  <c r="AB296" i="17"/>
  <c r="AB279" i="17"/>
  <c r="AB277" i="17"/>
  <c r="AB264" i="17"/>
  <c r="AB247" i="17"/>
  <c r="AB245" i="17"/>
  <c r="AB232" i="17"/>
  <c r="AB215" i="17"/>
  <c r="AB213" i="17"/>
  <c r="AB200" i="17"/>
  <c r="AB188" i="17"/>
  <c r="AB181" i="17"/>
  <c r="AB479" i="17"/>
  <c r="AB327" i="17"/>
  <c r="AB300" i="17"/>
  <c r="AB283" i="17"/>
  <c r="AB281" i="17"/>
  <c r="AB268" i="17"/>
  <c r="AB251" i="17"/>
  <c r="AB249" i="17"/>
  <c r="AB236" i="17"/>
  <c r="AB219" i="17"/>
  <c r="AB217" i="17"/>
  <c r="AB204" i="17"/>
  <c r="AB179" i="17"/>
  <c r="AB550" i="17"/>
  <c r="AB431" i="17"/>
  <c r="AB323" i="17"/>
  <c r="AB307" i="17"/>
  <c r="AB287" i="17"/>
  <c r="AB285" i="17"/>
  <c r="AB272" i="17"/>
  <c r="AB255" i="17"/>
  <c r="AB253" i="17"/>
  <c r="AB240" i="17"/>
  <c r="AB223" i="17"/>
  <c r="AB221" i="17"/>
  <c r="AB208" i="17"/>
  <c r="AB184" i="17"/>
  <c r="AB177" i="17"/>
  <c r="AB168" i="17"/>
  <c r="AB162" i="17"/>
  <c r="AB158" i="17"/>
  <c r="AB154" i="17"/>
  <c r="AB150" i="17"/>
  <c r="AB146" i="17"/>
  <c r="AB142" i="17"/>
  <c r="AB138" i="17"/>
  <c r="AB134" i="17"/>
  <c r="AB130" i="17"/>
  <c r="AB126" i="17"/>
  <c r="AB122" i="17"/>
  <c r="AB118" i="17"/>
  <c r="AB114" i="17"/>
  <c r="AB110" i="17"/>
  <c r="AB106" i="17"/>
  <c r="AB102" i="17"/>
  <c r="AB98" i="17"/>
  <c r="AB94" i="17"/>
  <c r="AB90" i="17"/>
  <c r="AB86" i="17"/>
  <c r="AB82" i="17"/>
  <c r="AB78" i="17"/>
  <c r="AB74" i="17"/>
  <c r="AB70" i="17"/>
  <c r="AB66" i="17"/>
  <c r="AB62" i="17"/>
  <c r="AB58" i="17"/>
  <c r="AB54" i="17"/>
  <c r="AB50" i="17"/>
  <c r="AB46" i="17"/>
  <c r="AB42" i="17"/>
  <c r="AB38" i="17"/>
  <c r="AB34" i="17"/>
  <c r="AB30" i="17"/>
  <c r="AB341" i="17"/>
  <c r="AB319" i="17"/>
  <c r="AB291" i="17"/>
  <c r="AB289" i="17"/>
  <c r="AB276" i="17"/>
  <c r="AB259" i="17"/>
  <c r="AB257" i="17"/>
  <c r="AB244" i="17"/>
  <c r="AB227" i="17"/>
  <c r="AB225" i="17"/>
  <c r="AB212" i="17"/>
  <c r="AB195" i="17"/>
  <c r="AB193" i="17"/>
  <c r="AB191" i="17"/>
  <c r="AB175" i="17"/>
  <c r="AB516" i="17"/>
  <c r="AB462" i="17"/>
  <c r="AB315" i="17"/>
  <c r="AB309" i="17"/>
  <c r="AB295" i="17"/>
  <c r="AB293" i="17"/>
  <c r="AB280" i="17"/>
  <c r="AB263" i="17"/>
  <c r="AB261" i="17"/>
  <c r="AB248" i="17"/>
  <c r="AB231" i="17"/>
  <c r="AB229" i="17"/>
  <c r="AB216" i="17"/>
  <c r="AB199" i="17"/>
  <c r="AB197" i="17"/>
  <c r="AB189" i="17"/>
  <c r="AB180" i="17"/>
  <c r="AB173" i="17"/>
  <c r="AB163" i="17"/>
  <c r="AB159" i="17"/>
  <c r="AB155" i="17"/>
  <c r="AB151" i="17"/>
  <c r="AB147" i="17"/>
  <c r="AB143" i="17"/>
  <c r="AB139" i="17"/>
  <c r="AB135" i="17"/>
  <c r="AB131" i="17"/>
  <c r="AB127" i="17"/>
  <c r="AB123" i="17"/>
  <c r="AB119" i="17"/>
  <c r="AB115" i="17"/>
  <c r="AB111" i="17"/>
  <c r="AB107" i="17"/>
  <c r="AB103" i="17"/>
  <c r="AB99" i="17"/>
  <c r="AB95" i="17"/>
  <c r="AB91" i="17"/>
  <c r="AB87" i="17"/>
  <c r="AB83" i="17"/>
  <c r="AB79" i="17"/>
  <c r="AB75" i="17"/>
  <c r="AB71" i="17"/>
  <c r="AB67" i="17"/>
  <c r="AB63" i="17"/>
  <c r="AB59" i="17"/>
  <c r="AB55" i="17"/>
  <c r="AB51" i="17"/>
  <c r="AB367" i="17"/>
  <c r="AB311" i="17"/>
  <c r="AB303" i="17"/>
  <c r="AB301" i="17"/>
  <c r="AB288" i="17"/>
  <c r="AB271" i="17"/>
  <c r="AB269" i="17"/>
  <c r="AB256" i="17"/>
  <c r="AB239" i="17"/>
  <c r="AB237" i="17"/>
  <c r="AB224" i="17"/>
  <c r="AB207" i="17"/>
  <c r="AB205" i="17"/>
  <c r="AB192" i="17"/>
  <c r="AB185" i="17"/>
  <c r="AB176" i="17"/>
  <c r="AB169" i="17"/>
  <c r="AB164" i="17"/>
  <c r="AB160" i="17"/>
  <c r="AB156" i="17"/>
  <c r="AB152" i="17"/>
  <c r="AB148" i="17"/>
  <c r="AB144" i="17"/>
  <c r="AB140" i="17"/>
  <c r="AB136" i="17"/>
  <c r="AB132" i="17"/>
  <c r="AB128" i="17"/>
  <c r="AB124" i="17"/>
  <c r="AB120" i="17"/>
  <c r="AB116" i="17"/>
  <c r="AB112" i="17"/>
  <c r="AB108" i="17"/>
  <c r="AB104" i="17"/>
  <c r="AB100" i="17"/>
  <c r="AB96" i="17"/>
  <c r="AB92" i="17"/>
  <c r="AB88" i="17"/>
  <c r="AB84" i="17"/>
  <c r="AB80" i="17"/>
  <c r="AB76" i="17"/>
  <c r="AB72" i="17"/>
  <c r="AB68" i="17"/>
  <c r="AB64" i="17"/>
  <c r="AB60" i="17"/>
  <c r="AB56" i="17"/>
  <c r="AB52" i="17"/>
  <c r="AB48" i="17"/>
  <c r="AB44" i="17"/>
  <c r="AB40" i="17"/>
  <c r="AB36" i="17"/>
  <c r="AB32" i="17"/>
  <c r="AB252" i="17"/>
  <c r="AB235" i="17"/>
  <c r="AB201" i="17"/>
  <c r="AB172" i="17"/>
  <c r="AB165" i="17"/>
  <c r="AB153" i="17"/>
  <c r="AB125" i="17"/>
  <c r="AB93" i="17"/>
  <c r="AB61" i="17"/>
  <c r="AB25" i="17"/>
  <c r="AB17" i="17"/>
  <c r="AB4" i="17"/>
  <c r="AB149" i="17"/>
  <c r="AB33" i="17"/>
  <c r="AB12" i="17"/>
  <c r="AB284" i="17"/>
  <c r="AB267" i="17"/>
  <c r="AB233" i="17"/>
  <c r="AB171" i="17"/>
  <c r="AB129" i="17"/>
  <c r="AB97" i="17"/>
  <c r="AB65" i="17"/>
  <c r="AB43" i="17"/>
  <c r="AB49" i="17"/>
  <c r="AB423" i="17"/>
  <c r="AB299" i="17"/>
  <c r="AB265" i="17"/>
  <c r="AB133" i="17"/>
  <c r="AB101" i="17"/>
  <c r="AB69" i="17"/>
  <c r="AB41" i="17"/>
  <c r="AB26" i="17"/>
  <c r="AB22" i="17"/>
  <c r="AB18" i="17"/>
  <c r="AB14" i="17"/>
  <c r="AB10" i="17"/>
  <c r="AB6" i="17"/>
  <c r="AB85" i="17"/>
  <c r="AB297" i="17"/>
  <c r="AB137" i="17"/>
  <c r="AB105" i="17"/>
  <c r="AB73" i="17"/>
  <c r="AB39" i="17"/>
  <c r="AB81" i="17"/>
  <c r="AB117" i="17"/>
  <c r="AB16" i="17"/>
  <c r="AB141" i="17"/>
  <c r="AB109" i="17"/>
  <c r="AB77" i="17"/>
  <c r="AB37" i="17"/>
  <c r="AB27" i="17"/>
  <c r="AB23" i="17"/>
  <c r="AB19" i="17"/>
  <c r="AB15" i="17"/>
  <c r="AB11" i="17"/>
  <c r="AB7" i="17"/>
  <c r="AB35" i="17"/>
  <c r="AB53" i="17"/>
  <c r="AB145" i="17"/>
  <c r="AB113" i="17"/>
  <c r="AB161" i="17"/>
  <c r="AB28" i="17"/>
  <c r="AB20" i="17"/>
  <c r="AB220" i="17"/>
  <c r="AB203" i="17"/>
  <c r="AB187" i="17"/>
  <c r="AB157" i="17"/>
  <c r="AB121" i="17"/>
  <c r="AB89" i="17"/>
  <c r="AB57" i="17"/>
  <c r="AB47" i="17"/>
  <c r="AB31" i="17"/>
  <c r="AB45" i="17"/>
  <c r="AB29" i="17"/>
  <c r="AB21" i="17"/>
  <c r="AB13" i="17"/>
  <c r="AB9" i="17"/>
  <c r="AB24" i="17"/>
  <c r="AB8" i="17"/>
  <c r="G5" i="17"/>
  <c r="AA1045" i="17"/>
  <c r="AA1041" i="17"/>
  <c r="AA1037" i="17"/>
  <c r="AA1033" i="17"/>
  <c r="AA1029" i="17"/>
  <c r="AA1025" i="17"/>
  <c r="AA1021" i="17"/>
  <c r="AA1017" i="17"/>
  <c r="AA1013" i="17"/>
  <c r="AA1009" i="17"/>
  <c r="AA1005" i="17"/>
  <c r="AA1001" i="17"/>
  <c r="AA997" i="17"/>
  <c r="AA993" i="17"/>
  <c r="AA989" i="17"/>
  <c r="AA985" i="17"/>
  <c r="AA981" i="17"/>
  <c r="AA977" i="17"/>
  <c r="AA973" i="17"/>
  <c r="AA969" i="17"/>
  <c r="AA965" i="17"/>
  <c r="AA961" i="17"/>
  <c r="AA957" i="17"/>
  <c r="AA1048" i="17"/>
  <c r="AA1044" i="17"/>
  <c r="AA1036" i="17"/>
  <c r="AA1028" i="17"/>
  <c r="AA1020" i="17"/>
  <c r="AA1012" i="17"/>
  <c r="AA999" i="17"/>
  <c r="AA986" i="17"/>
  <c r="AA980" i="17"/>
  <c r="AA967" i="17"/>
  <c r="AA954" i="17"/>
  <c r="AA951" i="17"/>
  <c r="AA948" i="17"/>
  <c r="AA945" i="17"/>
  <c r="AA1046" i="17"/>
  <c r="AA1038" i="17"/>
  <c r="AA1030" i="17"/>
  <c r="AA1022" i="17"/>
  <c r="AA1014" i="17"/>
  <c r="AA1003" i="17"/>
  <c r="AA990" i="17"/>
  <c r="AA984" i="17"/>
  <c r="AA971" i="17"/>
  <c r="AA958" i="17"/>
  <c r="AA933" i="17"/>
  <c r="AA929" i="17"/>
  <c r="AA925" i="17"/>
  <c r="AA921" i="17"/>
  <c r="AA917" i="17"/>
  <c r="AA913" i="17"/>
  <c r="AA909" i="17"/>
  <c r="AA905" i="17"/>
  <c r="AA901" i="17"/>
  <c r="AA1040" i="17"/>
  <c r="AA1032" i="17"/>
  <c r="AA1024" i="17"/>
  <c r="AA1016" i="17"/>
  <c r="AA1002" i="17"/>
  <c r="AA996" i="17"/>
  <c r="AA983" i="17"/>
  <c r="AA970" i="17"/>
  <c r="AA964" i="17"/>
  <c r="AA938" i="17"/>
  <c r="AA998" i="17"/>
  <c r="AA995" i="17"/>
  <c r="AA988" i="17"/>
  <c r="AA974" i="17"/>
  <c r="AA949" i="17"/>
  <c r="AA944" i="17"/>
  <c r="AA926" i="17"/>
  <c r="AA924" i="17"/>
  <c r="AA911" i="17"/>
  <c r="AA994" i="17"/>
  <c r="AA991" i="17"/>
  <c r="AA946" i="17"/>
  <c r="AA939" i="17"/>
  <c r="AA930" i="17"/>
  <c r="AA928" i="17"/>
  <c r="AA915" i="17"/>
  <c r="AA898" i="17"/>
  <c r="AA895" i="17"/>
  <c r="AA892" i="17"/>
  <c r="AA888" i="17"/>
  <c r="AA884" i="17"/>
  <c r="AA880" i="17"/>
  <c r="AA876" i="17"/>
  <c r="AA872" i="17"/>
  <c r="AA868" i="17"/>
  <c r="AA864" i="17"/>
  <c r="AA860" i="17"/>
  <c r="AA856" i="17"/>
  <c r="AA852" i="17"/>
  <c r="AA1027" i="17"/>
  <c r="AA1023" i="17"/>
  <c r="AA1018" i="17"/>
  <c r="AA1010" i="17"/>
  <c r="AA1000" i="17"/>
  <c r="AA962" i="17"/>
  <c r="AA959" i="17"/>
  <c r="AA950" i="17"/>
  <c r="AA927" i="17"/>
  <c r="AA910" i="17"/>
  <c r="AA908" i="17"/>
  <c r="AA896" i="17"/>
  <c r="AA1039" i="17"/>
  <c r="AA1011" i="17"/>
  <c r="AA968" i="17"/>
  <c r="AA952" i="17"/>
  <c r="AA940" i="17"/>
  <c r="AA919" i="17"/>
  <c r="AA916" i="17"/>
  <c r="AA902" i="17"/>
  <c r="AA885" i="17"/>
  <c r="AA883" i="17"/>
  <c r="AA870" i="17"/>
  <c r="AA853" i="17"/>
  <c r="AA851" i="17"/>
  <c r="AA1031" i="17"/>
  <c r="AA978" i="17"/>
  <c r="AA956" i="17"/>
  <c r="AA936" i="17"/>
  <c r="AA912" i="17"/>
  <c r="AA889" i="17"/>
  <c r="AA887" i="17"/>
  <c r="AA874" i="17"/>
  <c r="AA857" i="17"/>
  <c r="AA855" i="17"/>
  <c r="AA840" i="17"/>
  <c r="AA836" i="17"/>
  <c r="AA832" i="17"/>
  <c r="AA828" i="17"/>
  <c r="AA824" i="17"/>
  <c r="AA820" i="17"/>
  <c r="AA816" i="17"/>
  <c r="AA812" i="17"/>
  <c r="AA808" i="17"/>
  <c r="AA1042" i="17"/>
  <c r="AA1035" i="17"/>
  <c r="AA1015" i="17"/>
  <c r="AA976" i="17"/>
  <c r="AA931" i="17"/>
  <c r="AA914" i="17"/>
  <c r="AA904" i="17"/>
  <c r="AA886" i="17"/>
  <c r="AA869" i="17"/>
  <c r="AA867" i="17"/>
  <c r="AA854" i="17"/>
  <c r="AA844" i="17"/>
  <c r="AA841" i="17"/>
  <c r="AA1034" i="17"/>
  <c r="AA1004" i="17"/>
  <c r="AA1047" i="17"/>
  <c r="AA1043" i="17"/>
  <c r="AA975" i="17"/>
  <c r="AA966" i="17"/>
  <c r="AA992" i="17"/>
  <c r="AA943" i="17"/>
  <c r="AA899" i="17"/>
  <c r="AA891" i="17"/>
  <c r="AA881" i="17"/>
  <c r="AA848" i="17"/>
  <c r="AA843" i="17"/>
  <c r="AA834" i="17"/>
  <c r="AA817" i="17"/>
  <c r="AA815" i="17"/>
  <c r="AA793" i="17"/>
  <c r="AA789" i="17"/>
  <c r="AA785" i="17"/>
  <c r="AA781" i="17"/>
  <c r="AA777" i="17"/>
  <c r="AA773" i="17"/>
  <c r="AA769" i="17"/>
  <c r="AA765" i="17"/>
  <c r="AA761" i="17"/>
  <c r="AA757" i="17"/>
  <c r="AA753" i="17"/>
  <c r="AA749" i="17"/>
  <c r="AA745" i="17"/>
  <c r="AA741" i="17"/>
  <c r="AA737" i="17"/>
  <c r="AA733" i="17"/>
  <c r="AA729" i="17"/>
  <c r="AA725" i="17"/>
  <c r="AA721" i="17"/>
  <c r="AA717" i="17"/>
  <c r="AA713" i="17"/>
  <c r="AA709" i="17"/>
  <c r="AA705" i="17"/>
  <c r="AA701" i="17"/>
  <c r="AA697" i="17"/>
  <c r="AA693" i="17"/>
  <c r="AA689" i="17"/>
  <c r="AA685" i="17"/>
  <c r="AA681" i="17"/>
  <c r="AA677" i="17"/>
  <c r="AA673" i="17"/>
  <c r="AA669" i="17"/>
  <c r="AA665" i="17"/>
  <c r="AA661" i="17"/>
  <c r="AA657" i="17"/>
  <c r="AA653" i="17"/>
  <c r="AA1019" i="17"/>
  <c r="AA1008" i="17"/>
  <c r="AA982" i="17"/>
  <c r="AA955" i="17"/>
  <c r="AA937" i="17"/>
  <c r="AA877" i="17"/>
  <c r="AA850" i="17"/>
  <c r="AA838" i="17"/>
  <c r="AA821" i="17"/>
  <c r="AA819" i="17"/>
  <c r="AA800" i="17"/>
  <c r="AA797" i="17"/>
  <c r="AA1007" i="17"/>
  <c r="AA972" i="17"/>
  <c r="AA987" i="17"/>
  <c r="AA979" i="17"/>
  <c r="AA953" i="17"/>
  <c r="AA934" i="17"/>
  <c r="AA918" i="17"/>
  <c r="AA907" i="17"/>
  <c r="AA862" i="17"/>
  <c r="AA849" i="17"/>
  <c r="AA842" i="17"/>
  <c r="AA833" i="17"/>
  <c r="AA831" i="17"/>
  <c r="AA818" i="17"/>
  <c r="AA804" i="17"/>
  <c r="AA801" i="17"/>
  <c r="AA798" i="17"/>
  <c r="AA795" i="17"/>
  <c r="AA791" i="17"/>
  <c r="AA787" i="17"/>
  <c r="AA783" i="17"/>
  <c r="AA779" i="17"/>
  <c r="AA775" i="17"/>
  <c r="AA771" i="17"/>
  <c r="AA767" i="17"/>
  <c r="AA763" i="17"/>
  <c r="AA759" i="17"/>
  <c r="AA755" i="17"/>
  <c r="AA751" i="17"/>
  <c r="AA747" i="17"/>
  <c r="AA743" i="17"/>
  <c r="AA739" i="17"/>
  <c r="AA735" i="17"/>
  <c r="AA731" i="17"/>
  <c r="AA727" i="17"/>
  <c r="AA723" i="17"/>
  <c r="AA719" i="17"/>
  <c r="AA715" i="17"/>
  <c r="AA711" i="17"/>
  <c r="AA707" i="17"/>
  <c r="AA703" i="17"/>
  <c r="AA699" i="17"/>
  <c r="AA695" i="17"/>
  <c r="AA691" i="17"/>
  <c r="AA687" i="17"/>
  <c r="AA683" i="17"/>
  <c r="AA679" i="17"/>
  <c r="AA675" i="17"/>
  <c r="AA671" i="17"/>
  <c r="AA667" i="17"/>
  <c r="AA663" i="17"/>
  <c r="AA659" i="17"/>
  <c r="AA655" i="17"/>
  <c r="AA651" i="17"/>
  <c r="AA1006" i="17"/>
  <c r="AA935" i="17"/>
  <c r="AA900" i="17"/>
  <c r="AA893" i="17"/>
  <c r="AA882" i="17"/>
  <c r="AA866" i="17"/>
  <c r="AA846" i="17"/>
  <c r="AA835" i="17"/>
  <c r="AA805" i="17"/>
  <c r="AA778" i="17"/>
  <c r="AA776" i="17"/>
  <c r="AA746" i="17"/>
  <c r="AA744" i="17"/>
  <c r="AA714" i="17"/>
  <c r="AA712" i="17"/>
  <c r="AA682" i="17"/>
  <c r="AA680" i="17"/>
  <c r="AA942" i="17"/>
  <c r="AA859" i="17"/>
  <c r="AA845" i="17"/>
  <c r="AA810" i="17"/>
  <c r="AA807" i="17"/>
  <c r="AA802" i="17"/>
  <c r="AA786" i="17"/>
  <c r="AA784" i="17"/>
  <c r="AA754" i="17"/>
  <c r="AA752" i="17"/>
  <c r="AA722" i="17"/>
  <c r="AA720" i="17"/>
  <c r="AA690" i="17"/>
  <c r="AA688" i="17"/>
  <c r="AA922" i="17"/>
  <c r="AA890" i="17"/>
  <c r="AA863" i="17"/>
  <c r="AA830" i="17"/>
  <c r="AA823" i="17"/>
  <c r="AA813" i="17"/>
  <c r="AA806" i="17"/>
  <c r="AA799" i="17"/>
  <c r="AA794" i="17"/>
  <c r="AA792" i="17"/>
  <c r="AA762" i="17"/>
  <c r="AA760" i="17"/>
  <c r="AA730" i="17"/>
  <c r="AA728" i="17"/>
  <c r="AA698" i="17"/>
  <c r="AA696" i="17"/>
  <c r="AA923" i="17"/>
  <c r="AA878" i="17"/>
  <c r="AA861" i="17"/>
  <c r="AA788" i="17"/>
  <c r="AA764" i="17"/>
  <c r="AA706" i="17"/>
  <c r="AA678" i="17"/>
  <c r="AA656" i="17"/>
  <c r="AA650" i="17"/>
  <c r="AA1026" i="17"/>
  <c r="AA839" i="17"/>
  <c r="AA822" i="17"/>
  <c r="AA920" i="17"/>
  <c r="AA906" i="17"/>
  <c r="AA894" i="17"/>
  <c r="AA858" i="17"/>
  <c r="AA827" i="17"/>
  <c r="AA811" i="17"/>
  <c r="AA947" i="17"/>
  <c r="AA932" i="17"/>
  <c r="AA903" i="17"/>
  <c r="AA875" i="17"/>
  <c r="AA837" i="17"/>
  <c r="AA826" i="17"/>
  <c r="AA790" i="17"/>
  <c r="AA780" i="17"/>
  <c r="AA766" i="17"/>
  <c r="AA756" i="17"/>
  <c r="AA732" i="17"/>
  <c r="AA660" i="17"/>
  <c r="AA648" i="17"/>
  <c r="AA644" i="17"/>
  <c r="AA640" i="17"/>
  <c r="AA636" i="17"/>
  <c r="AA632" i="17"/>
  <c r="AA628" i="17"/>
  <c r="AA624" i="17"/>
  <c r="AA620" i="17"/>
  <c r="AA873" i="17"/>
  <c r="AA865" i="17"/>
  <c r="AA809" i="17"/>
  <c r="AA742" i="17"/>
  <c r="AA718" i="17"/>
  <c r="AA708" i="17"/>
  <c r="AA694" i="17"/>
  <c r="AA684" i="17"/>
  <c r="AA672" i="17"/>
  <c r="AA662" i="17"/>
  <c r="AA825" i="17"/>
  <c r="AA814" i="17"/>
  <c r="AA796" i="17"/>
  <c r="AA738" i="17"/>
  <c r="AA704" i="17"/>
  <c r="AA674" i="17"/>
  <c r="AA649" i="17"/>
  <c r="AA645" i="17"/>
  <c r="AA641" i="17"/>
  <c r="AA637" i="17"/>
  <c r="AA633" i="17"/>
  <c r="AA629" i="17"/>
  <c r="AA625" i="17"/>
  <c r="AA960" i="17"/>
  <c r="AA897" i="17"/>
  <c r="AA879" i="17"/>
  <c r="AA871" i="17"/>
  <c r="AA829" i="17"/>
  <c r="AA803" i="17"/>
  <c r="AA768" i="17"/>
  <c r="AA710" i="17"/>
  <c r="AA686" i="17"/>
  <c r="AA676" i="17"/>
  <c r="AA666" i="17"/>
  <c r="AA654" i="17"/>
  <c r="AA652" i="17"/>
  <c r="AA646" i="17"/>
  <c r="AA642" i="17"/>
  <c r="AA638" i="17"/>
  <c r="AA634" i="17"/>
  <c r="AA630" i="17"/>
  <c r="AA626" i="17"/>
  <c r="AA622" i="17"/>
  <c r="AA618" i="17"/>
  <c r="AA963" i="17"/>
  <c r="AA750" i="17"/>
  <c r="AA941" i="17"/>
  <c r="AA758" i="17"/>
  <c r="AA740" i="17"/>
  <c r="AA623" i="17"/>
  <c r="AA615" i="17"/>
  <c r="AA611" i="17"/>
  <c r="AA607" i="17"/>
  <c r="AA603" i="17"/>
  <c r="AA599" i="17"/>
  <c r="AA595" i="17"/>
  <c r="AA591" i="17"/>
  <c r="AA587" i="17"/>
  <c r="AA583" i="17"/>
  <c r="AA579" i="17"/>
  <c r="AA575" i="17"/>
  <c r="AA847" i="17"/>
  <c r="AA748" i="17"/>
  <c r="AA702" i="17"/>
  <c r="AA658" i="17"/>
  <c r="AA627" i="17"/>
  <c r="AA621" i="17"/>
  <c r="AA774" i="17"/>
  <c r="AA692" i="17"/>
  <c r="AA664" i="17"/>
  <c r="AA619" i="17"/>
  <c r="AA616" i="17"/>
  <c r="AA612" i="17"/>
  <c r="AA608" i="17"/>
  <c r="AA604" i="17"/>
  <c r="AA600" i="17"/>
  <c r="AA596" i="17"/>
  <c r="AA592" i="17"/>
  <c r="AA588" i="17"/>
  <c r="AA584" i="17"/>
  <c r="AA580" i="17"/>
  <c r="AA576" i="17"/>
  <c r="AA572" i="17"/>
  <c r="AA568" i="17"/>
  <c r="AA564" i="17"/>
  <c r="AA560" i="17"/>
  <c r="AA556" i="17"/>
  <c r="AA552" i="17"/>
  <c r="AA548" i="17"/>
  <c r="AA544" i="17"/>
  <c r="AA540" i="17"/>
  <c r="AA536" i="17"/>
  <c r="AA532" i="17"/>
  <c r="AA528" i="17"/>
  <c r="AA524" i="17"/>
  <c r="AA520" i="17"/>
  <c r="AA516" i="17"/>
  <c r="AA512" i="17"/>
  <c r="AA508" i="17"/>
  <c r="AA504" i="17"/>
  <c r="AA500" i="17"/>
  <c r="AA496" i="17"/>
  <c r="AA492" i="17"/>
  <c r="AA488" i="17"/>
  <c r="AA484" i="17"/>
  <c r="AA480" i="17"/>
  <c r="AA476" i="17"/>
  <c r="AA472" i="17"/>
  <c r="AA468" i="17"/>
  <c r="AA464" i="17"/>
  <c r="AA460" i="17"/>
  <c r="AA456" i="17"/>
  <c r="AA452" i="17"/>
  <c r="AA448" i="17"/>
  <c r="AA444" i="17"/>
  <c r="AA440" i="17"/>
  <c r="AA782" i="17"/>
  <c r="AA700" i="17"/>
  <c r="AA670" i="17"/>
  <c r="AA647" i="17"/>
  <c r="AA772" i="17"/>
  <c r="AA736" i="17"/>
  <c r="AA726" i="17"/>
  <c r="AA770" i="17"/>
  <c r="AA724" i="17"/>
  <c r="AA635" i="17"/>
  <c r="AA614" i="17"/>
  <c r="AA610" i="17"/>
  <c r="AA606" i="17"/>
  <c r="AA602" i="17"/>
  <c r="AA598" i="17"/>
  <c r="AA594" i="17"/>
  <c r="AA590" i="17"/>
  <c r="AA586" i="17"/>
  <c r="AA582" i="17"/>
  <c r="AA578" i="17"/>
  <c r="AA574" i="17"/>
  <c r="AA570" i="17"/>
  <c r="AA566" i="17"/>
  <c r="AA562" i="17"/>
  <c r="AA558" i="17"/>
  <c r="AA554" i="17"/>
  <c r="AA550" i="17"/>
  <c r="AA546" i="17"/>
  <c r="AA542" i="17"/>
  <c r="AA538" i="17"/>
  <c r="AA534" i="17"/>
  <c r="AA530" i="17"/>
  <c r="AA526" i="17"/>
  <c r="AA522" i="17"/>
  <c r="AA518" i="17"/>
  <c r="AA514" i="17"/>
  <c r="AA510" i="17"/>
  <c r="AA506" i="17"/>
  <c r="AA502" i="17"/>
  <c r="AA498" i="17"/>
  <c r="AA494" i="17"/>
  <c r="AA490" i="17"/>
  <c r="AA486" i="17"/>
  <c r="AA482" i="17"/>
  <c r="AA478" i="17"/>
  <c r="AA474" i="17"/>
  <c r="AA470" i="17"/>
  <c r="AA466" i="17"/>
  <c r="AA462" i="17"/>
  <c r="AA458" i="17"/>
  <c r="AA454" i="17"/>
  <c r="AA450" i="17"/>
  <c r="AA446" i="17"/>
  <c r="AA442" i="17"/>
  <c r="AA438" i="17"/>
  <c r="AA434" i="17"/>
  <c r="AA734" i="17"/>
  <c r="AA605" i="17"/>
  <c r="AA573" i="17"/>
  <c r="AA541" i="17"/>
  <c r="AA539" i="17"/>
  <c r="AA509" i="17"/>
  <c r="AA507" i="17"/>
  <c r="AA668" i="17"/>
  <c r="AA601" i="17"/>
  <c r="AA545" i="17"/>
  <c r="AA543" i="17"/>
  <c r="AA513" i="17"/>
  <c r="AA511" i="17"/>
  <c r="AA481" i="17"/>
  <c r="AA479" i="17"/>
  <c r="AA449" i="17"/>
  <c r="AA447" i="17"/>
  <c r="AA716" i="17"/>
  <c r="AA631" i="17"/>
  <c r="AA597" i="17"/>
  <c r="AA567" i="17"/>
  <c r="AA549" i="17"/>
  <c r="AA547" i="17"/>
  <c r="AA517" i="17"/>
  <c r="AA515" i="17"/>
  <c r="AA485" i="17"/>
  <c r="AA483" i="17"/>
  <c r="AA453" i="17"/>
  <c r="AA451" i="17"/>
  <c r="AA431" i="17"/>
  <c r="AA427" i="17"/>
  <c r="AA423" i="17"/>
  <c r="AA419" i="17"/>
  <c r="AA415" i="17"/>
  <c r="AA411" i="17"/>
  <c r="AA639" i="17"/>
  <c r="AA593" i="17"/>
  <c r="AA569" i="17"/>
  <c r="AA553" i="17"/>
  <c r="AA551" i="17"/>
  <c r="AA521" i="17"/>
  <c r="AA519" i="17"/>
  <c r="AA489" i="17"/>
  <c r="AA487" i="17"/>
  <c r="AA457" i="17"/>
  <c r="AA455" i="17"/>
  <c r="AA436" i="17"/>
  <c r="AA589" i="17"/>
  <c r="AA557" i="17"/>
  <c r="AA555" i="17"/>
  <c r="AA525" i="17"/>
  <c r="AA523" i="17"/>
  <c r="AA617" i="17"/>
  <c r="AA585" i="17"/>
  <c r="AA561" i="17"/>
  <c r="AA559" i="17"/>
  <c r="AA529" i="17"/>
  <c r="AA527" i="17"/>
  <c r="AA497" i="17"/>
  <c r="AA495" i="17"/>
  <c r="AA465" i="17"/>
  <c r="AA463" i="17"/>
  <c r="AA432" i="17"/>
  <c r="AA643" i="17"/>
  <c r="AA609" i="17"/>
  <c r="AA577" i="17"/>
  <c r="AA565" i="17"/>
  <c r="AA537" i="17"/>
  <c r="AA535" i="17"/>
  <c r="AA505" i="17"/>
  <c r="AA503" i="17"/>
  <c r="AA473" i="17"/>
  <c r="AA471" i="17"/>
  <c r="AA441" i="17"/>
  <c r="AA439" i="17"/>
  <c r="AA435" i="17"/>
  <c r="AA563" i="17"/>
  <c r="AA425" i="17"/>
  <c r="AA417" i="17"/>
  <c r="AA405" i="17"/>
  <c r="AA403" i="17"/>
  <c r="AA390" i="17"/>
  <c r="AA388" i="17"/>
  <c r="AA373" i="17"/>
  <c r="AA371" i="17"/>
  <c r="AA358" i="17"/>
  <c r="AA356" i="17"/>
  <c r="AA346" i="17"/>
  <c r="AA339" i="17"/>
  <c r="AA330" i="17"/>
  <c r="AA613" i="17"/>
  <c r="AA477" i="17"/>
  <c r="AA443" i="17"/>
  <c r="AA437" i="17"/>
  <c r="AA433" i="17"/>
  <c r="AA430" i="17"/>
  <c r="AA422" i="17"/>
  <c r="AA414" i="17"/>
  <c r="AA409" i="17"/>
  <c r="AA407" i="17"/>
  <c r="AA394" i="17"/>
  <c r="AA392" i="17"/>
  <c r="AA377" i="17"/>
  <c r="AA375" i="17"/>
  <c r="AA362" i="17"/>
  <c r="AA360" i="17"/>
  <c r="AA344" i="17"/>
  <c r="AA337" i="17"/>
  <c r="AA581" i="17"/>
  <c r="AA499" i="17"/>
  <c r="AA493" i="17"/>
  <c r="AA459" i="17"/>
  <c r="AA398" i="17"/>
  <c r="AA396" i="17"/>
  <c r="AA381" i="17"/>
  <c r="AA379" i="17"/>
  <c r="AA366" i="17"/>
  <c r="AA364" i="17"/>
  <c r="AA342" i="17"/>
  <c r="AA335" i="17"/>
  <c r="AA328" i="17"/>
  <c r="AA424" i="17"/>
  <c r="AA416" i="17"/>
  <c r="AA402" i="17"/>
  <c r="AA400" i="17"/>
  <c r="AA385" i="17"/>
  <c r="AA383" i="17"/>
  <c r="AA370" i="17"/>
  <c r="AA368" i="17"/>
  <c r="AA353" i="17"/>
  <c r="AA351" i="17"/>
  <c r="AA349" i="17"/>
  <c r="AA340" i="17"/>
  <c r="AA333" i="17"/>
  <c r="AA325" i="17"/>
  <c r="AA321" i="17"/>
  <c r="AA317" i="17"/>
  <c r="AA313" i="17"/>
  <c r="AA309" i="17"/>
  <c r="AA305" i="17"/>
  <c r="AA301" i="17"/>
  <c r="AA297" i="17"/>
  <c r="AA293" i="17"/>
  <c r="AA289" i="17"/>
  <c r="AA285" i="17"/>
  <c r="AA281" i="17"/>
  <c r="AA277" i="17"/>
  <c r="AA273" i="17"/>
  <c r="AA269" i="17"/>
  <c r="AA265" i="17"/>
  <c r="AA261" i="17"/>
  <c r="AA257" i="17"/>
  <c r="AA253" i="17"/>
  <c r="AA249" i="17"/>
  <c r="AA245" i="17"/>
  <c r="AA241" i="17"/>
  <c r="AA237" i="17"/>
  <c r="AA233" i="17"/>
  <c r="AA229" i="17"/>
  <c r="AA225" i="17"/>
  <c r="AA221" i="17"/>
  <c r="AA217" i="17"/>
  <c r="AA213" i="17"/>
  <c r="AA209" i="17"/>
  <c r="AA205" i="17"/>
  <c r="AA201" i="17"/>
  <c r="AA197" i="17"/>
  <c r="AA193" i="17"/>
  <c r="AA475" i="17"/>
  <c r="AA469" i="17"/>
  <c r="AA429" i="17"/>
  <c r="AA421" i="17"/>
  <c r="AA413" i="17"/>
  <c r="AA406" i="17"/>
  <c r="AA404" i="17"/>
  <c r="AA389" i="17"/>
  <c r="AA387" i="17"/>
  <c r="AA374" i="17"/>
  <c r="AA372" i="17"/>
  <c r="AA357" i="17"/>
  <c r="AA355" i="17"/>
  <c r="AA347" i="17"/>
  <c r="AA338" i="17"/>
  <c r="AA331" i="17"/>
  <c r="AA571" i="17"/>
  <c r="AA491" i="17"/>
  <c r="AA426" i="17"/>
  <c r="AA418" i="17"/>
  <c r="AA410" i="17"/>
  <c r="AA408" i="17"/>
  <c r="AA393" i="17"/>
  <c r="AA391" i="17"/>
  <c r="AA378" i="17"/>
  <c r="AA376" i="17"/>
  <c r="AA361" i="17"/>
  <c r="AA359" i="17"/>
  <c r="AA345" i="17"/>
  <c r="AA531" i="17"/>
  <c r="AA501" i="17"/>
  <c r="AA467" i="17"/>
  <c r="AA461" i="17"/>
  <c r="AA428" i="17"/>
  <c r="AA420" i="17"/>
  <c r="AA412" i="17"/>
  <c r="AA401" i="17"/>
  <c r="AA399" i="17"/>
  <c r="AA386" i="17"/>
  <c r="AA384" i="17"/>
  <c r="AA369" i="17"/>
  <c r="AA367" i="17"/>
  <c r="AA354" i="17"/>
  <c r="AA352" i="17"/>
  <c r="AA348" i="17"/>
  <c r="AA341" i="17"/>
  <c r="AA332" i="17"/>
  <c r="AA327" i="17"/>
  <c r="AA323" i="17"/>
  <c r="AA319" i="17"/>
  <c r="AA315" i="17"/>
  <c r="AA311" i="17"/>
  <c r="AA307" i="17"/>
  <c r="AA303" i="17"/>
  <c r="AA299" i="17"/>
  <c r="AA295" i="17"/>
  <c r="AA291" i="17"/>
  <c r="AA287" i="17"/>
  <c r="AA283" i="17"/>
  <c r="AA279" i="17"/>
  <c r="AA275" i="17"/>
  <c r="AA271" i="17"/>
  <c r="AA267" i="17"/>
  <c r="AA263" i="17"/>
  <c r="AA259" i="17"/>
  <c r="AA255" i="17"/>
  <c r="AA251" i="17"/>
  <c r="AA247" i="17"/>
  <c r="AA243" i="17"/>
  <c r="AA239" i="17"/>
  <c r="AA235" i="17"/>
  <c r="AA231" i="17"/>
  <c r="AA227" i="17"/>
  <c r="AA223" i="17"/>
  <c r="AA219" i="17"/>
  <c r="AA215" i="17"/>
  <c r="AA211" i="17"/>
  <c r="AA207" i="17"/>
  <c r="AA203" i="17"/>
  <c r="AA199" i="17"/>
  <c r="AA195" i="17"/>
  <c r="AA191" i="17"/>
  <c r="AA187" i="17"/>
  <c r="AA183" i="17"/>
  <c r="AA179" i="17"/>
  <c r="AA175" i="17"/>
  <c r="AA171" i="17"/>
  <c r="AA167" i="17"/>
  <c r="AA445" i="17"/>
  <c r="AA382" i="17"/>
  <c r="AA365" i="17"/>
  <c r="AA308" i="17"/>
  <c r="AA290" i="17"/>
  <c r="AA288" i="17"/>
  <c r="AA258" i="17"/>
  <c r="AA256" i="17"/>
  <c r="AA226" i="17"/>
  <c r="AA224" i="17"/>
  <c r="AA194" i="17"/>
  <c r="AA192" i="17"/>
  <c r="AA185" i="17"/>
  <c r="AA176" i="17"/>
  <c r="AA169" i="17"/>
  <c r="AA164" i="17"/>
  <c r="AA160" i="17"/>
  <c r="AA156" i="17"/>
  <c r="AA397" i="17"/>
  <c r="AA380" i="17"/>
  <c r="AA363" i="17"/>
  <c r="AA324" i="17"/>
  <c r="AA294" i="17"/>
  <c r="AA292" i="17"/>
  <c r="AA262" i="17"/>
  <c r="AA260" i="17"/>
  <c r="AA230" i="17"/>
  <c r="AA228" i="17"/>
  <c r="AA198" i="17"/>
  <c r="AA196" i="17"/>
  <c r="AA190" i="17"/>
  <c r="AA174" i="17"/>
  <c r="AA395" i="17"/>
  <c r="AA334" i="17"/>
  <c r="AA320" i="17"/>
  <c r="AA310" i="17"/>
  <c r="AA298" i="17"/>
  <c r="AA296" i="17"/>
  <c r="AA266" i="17"/>
  <c r="AA264" i="17"/>
  <c r="AA234" i="17"/>
  <c r="AA232" i="17"/>
  <c r="AA202" i="17"/>
  <c r="AA200" i="17"/>
  <c r="AA188" i="17"/>
  <c r="AA181" i="17"/>
  <c r="AA172" i="17"/>
  <c r="AA165" i="17"/>
  <c r="AA343" i="17"/>
  <c r="AA316" i="17"/>
  <c r="AA302" i="17"/>
  <c r="AA300" i="17"/>
  <c r="AA270" i="17"/>
  <c r="AA268" i="17"/>
  <c r="AA238" i="17"/>
  <c r="AA236" i="17"/>
  <c r="AA206" i="17"/>
  <c r="AA204" i="17"/>
  <c r="AA186" i="17"/>
  <c r="AA170" i="17"/>
  <c r="AA533" i="17"/>
  <c r="AA326" i="17"/>
  <c r="AA312" i="17"/>
  <c r="AA304" i="17"/>
  <c r="AA274" i="17"/>
  <c r="AA272" i="17"/>
  <c r="AA242" i="17"/>
  <c r="AA240" i="17"/>
  <c r="AA210" i="17"/>
  <c r="AA208" i="17"/>
  <c r="AA184" i="17"/>
  <c r="AA177" i="17"/>
  <c r="AA168" i="17"/>
  <c r="AA162" i="17"/>
  <c r="AA158" i="17"/>
  <c r="AA154" i="17"/>
  <c r="AA322" i="17"/>
  <c r="AA278" i="17"/>
  <c r="AA276" i="17"/>
  <c r="AA246" i="17"/>
  <c r="AA244" i="17"/>
  <c r="AA214" i="17"/>
  <c r="AA212" i="17"/>
  <c r="AA182" i="17"/>
  <c r="AA166" i="17"/>
  <c r="AA350" i="17"/>
  <c r="AA336" i="17"/>
  <c r="AA329" i="17"/>
  <c r="AA314" i="17"/>
  <c r="AA286" i="17"/>
  <c r="AA284" i="17"/>
  <c r="AA254" i="17"/>
  <c r="AA252" i="17"/>
  <c r="AA222" i="17"/>
  <c r="AA220" i="17"/>
  <c r="AA178" i="17"/>
  <c r="AA218" i="17"/>
  <c r="AA157" i="17"/>
  <c r="AA140" i="17"/>
  <c r="AA138" i="17"/>
  <c r="AA123" i="17"/>
  <c r="AA121" i="17"/>
  <c r="AA108" i="17"/>
  <c r="AA106" i="17"/>
  <c r="AA91" i="17"/>
  <c r="AA89" i="17"/>
  <c r="AA74" i="17"/>
  <c r="AA59" i="17"/>
  <c r="AA57" i="17"/>
  <c r="AA47" i="17"/>
  <c r="AA38" i="17"/>
  <c r="AA31" i="17"/>
  <c r="AA13" i="17"/>
  <c r="AA81" i="17"/>
  <c r="AA250" i="17"/>
  <c r="AA216" i="17"/>
  <c r="AA153" i="17"/>
  <c r="AA144" i="17"/>
  <c r="AA142" i="17"/>
  <c r="AA127" i="17"/>
  <c r="AA125" i="17"/>
  <c r="AA112" i="17"/>
  <c r="AA110" i="17"/>
  <c r="AA95" i="17"/>
  <c r="AA93" i="17"/>
  <c r="AA80" i="17"/>
  <c r="AA78" i="17"/>
  <c r="AA63" i="17"/>
  <c r="AA61" i="17"/>
  <c r="AA45" i="17"/>
  <c r="AA36" i="17"/>
  <c r="AA29" i="17"/>
  <c r="AA25" i="17"/>
  <c r="AA21" i="17"/>
  <c r="AA17" i="17"/>
  <c r="AA132" i="17"/>
  <c r="AA282" i="17"/>
  <c r="AA248" i="17"/>
  <c r="AA148" i="17"/>
  <c r="AA146" i="17"/>
  <c r="AA131" i="17"/>
  <c r="AA129" i="17"/>
  <c r="AA116" i="17"/>
  <c r="AA114" i="17"/>
  <c r="AA99" i="17"/>
  <c r="AA97" i="17"/>
  <c r="AA84" i="17"/>
  <c r="AA82" i="17"/>
  <c r="AA67" i="17"/>
  <c r="AA65" i="17"/>
  <c r="AA52" i="17"/>
  <c r="AA50" i="17"/>
  <c r="AA43" i="17"/>
  <c r="AA34" i="17"/>
  <c r="AA11" i="17"/>
  <c r="AA318" i="17"/>
  <c r="AA280" i="17"/>
  <c r="AA180" i="17"/>
  <c r="AA163" i="17"/>
  <c r="AA159" i="17"/>
  <c r="AA152" i="17"/>
  <c r="AA150" i="17"/>
  <c r="AA135" i="17"/>
  <c r="AA133" i="17"/>
  <c r="AA120" i="17"/>
  <c r="AA118" i="17"/>
  <c r="AA103" i="17"/>
  <c r="AA101" i="17"/>
  <c r="AA88" i="17"/>
  <c r="AA86" i="17"/>
  <c r="AA71" i="17"/>
  <c r="AA69" i="17"/>
  <c r="AA56" i="17"/>
  <c r="AA54" i="17"/>
  <c r="AA48" i="17"/>
  <c r="AA41" i="17"/>
  <c r="AA32" i="17"/>
  <c r="AA26" i="17"/>
  <c r="AA22" i="17"/>
  <c r="AA18" i="17"/>
  <c r="AA14" i="17"/>
  <c r="AA10" i="17"/>
  <c r="AA6" i="17"/>
  <c r="AA64" i="17"/>
  <c r="AA37" i="17"/>
  <c r="AA145" i="17"/>
  <c r="AA155" i="17"/>
  <c r="AA139" i="17"/>
  <c r="AA137" i="17"/>
  <c r="AA124" i="17"/>
  <c r="AA122" i="17"/>
  <c r="AA107" i="17"/>
  <c r="AA105" i="17"/>
  <c r="AA92" i="17"/>
  <c r="AA90" i="17"/>
  <c r="AA75" i="17"/>
  <c r="AA73" i="17"/>
  <c r="AA60" i="17"/>
  <c r="AA58" i="17"/>
  <c r="AA46" i="17"/>
  <c r="AA39" i="17"/>
  <c r="AA30" i="17"/>
  <c r="AA77" i="17"/>
  <c r="AA44" i="17"/>
  <c r="AA23" i="17"/>
  <c r="AA19" i="17"/>
  <c r="AA15" i="17"/>
  <c r="AA147" i="17"/>
  <c r="AA130" i="17"/>
  <c r="AA98" i="17"/>
  <c r="AA68" i="17"/>
  <c r="AA35" i="17"/>
  <c r="AA143" i="17"/>
  <c r="AA141" i="17"/>
  <c r="AA128" i="17"/>
  <c r="AA126" i="17"/>
  <c r="AA111" i="17"/>
  <c r="AA109" i="17"/>
  <c r="AA96" i="17"/>
  <c r="AA94" i="17"/>
  <c r="AA79" i="17"/>
  <c r="AA62" i="17"/>
  <c r="AA27" i="17"/>
  <c r="AA7" i="17"/>
  <c r="AA189" i="17"/>
  <c r="AA115" i="17"/>
  <c r="AA306" i="17"/>
  <c r="AA173" i="17"/>
  <c r="AA161" i="17"/>
  <c r="AA151" i="17"/>
  <c r="AA149" i="17"/>
  <c r="AA136" i="17"/>
  <c r="AA134" i="17"/>
  <c r="AA119" i="17"/>
  <c r="AA117" i="17"/>
  <c r="AA104" i="17"/>
  <c r="AA102" i="17"/>
  <c r="AA87" i="17"/>
  <c r="AA85" i="17"/>
  <c r="AA72" i="17"/>
  <c r="AA70" i="17"/>
  <c r="AA55" i="17"/>
  <c r="AA53" i="17"/>
  <c r="AA49" i="17"/>
  <c r="AA40" i="17"/>
  <c r="AA33" i="17"/>
  <c r="AA28" i="17"/>
  <c r="AA24" i="17"/>
  <c r="AA20" i="17"/>
  <c r="AA16" i="17"/>
  <c r="AA12" i="17"/>
  <c r="AA8" i="17"/>
  <c r="AA76" i="17"/>
  <c r="AA9" i="17"/>
  <c r="AA4" i="17"/>
  <c r="AA113" i="17"/>
  <c r="AA100" i="17"/>
  <c r="AA83" i="17"/>
  <c r="AA66" i="17"/>
  <c r="AA51" i="17"/>
  <c r="AA42" i="17"/>
  <c r="X1047" i="17"/>
  <c r="X1043" i="17"/>
  <c r="X1039" i="17"/>
  <c r="X1035" i="17"/>
  <c r="X1031" i="17"/>
  <c r="X1027" i="17"/>
  <c r="X1023" i="17"/>
  <c r="X1019" i="17"/>
  <c r="X1015" i="17"/>
  <c r="X1011" i="17"/>
  <c r="X1007" i="17"/>
  <c r="X1003" i="17"/>
  <c r="X999" i="17"/>
  <c r="X995" i="17"/>
  <c r="X991" i="17"/>
  <c r="X987" i="17"/>
  <c r="X983" i="17"/>
  <c r="X979" i="17"/>
  <c r="X975" i="17"/>
  <c r="X971" i="17"/>
  <c r="X967" i="17"/>
  <c r="X963" i="17"/>
  <c r="X959" i="17"/>
  <c r="X955" i="17"/>
  <c r="X1048" i="17"/>
  <c r="X1044" i="17"/>
  <c r="X1040" i="17"/>
  <c r="X1036" i="17"/>
  <c r="X1032" i="17"/>
  <c r="X1028" i="17"/>
  <c r="X1024" i="17"/>
  <c r="X1020" i="17"/>
  <c r="X1016" i="17"/>
  <c r="X1012" i="17"/>
  <c r="X1008" i="17"/>
  <c r="X1004" i="17"/>
  <c r="X1000" i="17"/>
  <c r="X996" i="17"/>
  <c r="X992" i="17"/>
  <c r="X988" i="17"/>
  <c r="X984" i="17"/>
  <c r="X980" i="17"/>
  <c r="X976" i="17"/>
  <c r="X972" i="17"/>
  <c r="X968" i="17"/>
  <c r="X964" i="17"/>
  <c r="X960" i="17"/>
  <c r="X956" i="17"/>
  <c r="X952" i="17"/>
  <c r="X948" i="17"/>
  <c r="X944" i="17"/>
  <c r="X940" i="17"/>
  <c r="D5" i="17"/>
  <c r="X1046" i="17"/>
  <c r="X1042" i="17"/>
  <c r="X1038" i="17"/>
  <c r="X1034" i="17"/>
  <c r="X1030" i="17"/>
  <c r="X1026" i="17"/>
  <c r="X1022" i="17"/>
  <c r="X1018" i="17"/>
  <c r="X1014" i="17"/>
  <c r="X1006" i="17"/>
  <c r="X993" i="17"/>
  <c r="X974" i="17"/>
  <c r="X961" i="17"/>
  <c r="X953" i="17"/>
  <c r="X950" i="17"/>
  <c r="X947" i="17"/>
  <c r="X935" i="17"/>
  <c r="X931" i="17"/>
  <c r="X927" i="17"/>
  <c r="X923" i="17"/>
  <c r="X919" i="17"/>
  <c r="X915" i="17"/>
  <c r="X911" i="17"/>
  <c r="X907" i="17"/>
  <c r="X903" i="17"/>
  <c r="X899" i="17"/>
  <c r="X895" i="17"/>
  <c r="X1010" i="17"/>
  <c r="X997" i="17"/>
  <c r="X978" i="17"/>
  <c r="X965" i="17"/>
  <c r="X1009" i="17"/>
  <c r="X990" i="17"/>
  <c r="X977" i="17"/>
  <c r="X958" i="17"/>
  <c r="X937" i="17"/>
  <c r="X933" i="17"/>
  <c r="X929" i="17"/>
  <c r="X925" i="17"/>
  <c r="X921" i="17"/>
  <c r="X917" i="17"/>
  <c r="X913" i="17"/>
  <c r="X909" i="17"/>
  <c r="X905" i="17"/>
  <c r="X901" i="17"/>
  <c r="X1025" i="17"/>
  <c r="X1021" i="17"/>
  <c r="X985" i="17"/>
  <c r="X942" i="17"/>
  <c r="X920" i="17"/>
  <c r="X918" i="17"/>
  <c r="X890" i="17"/>
  <c r="X886" i="17"/>
  <c r="X882" i="17"/>
  <c r="X878" i="17"/>
  <c r="X874" i="17"/>
  <c r="X870" i="17"/>
  <c r="X866" i="17"/>
  <c r="X862" i="17"/>
  <c r="X858" i="17"/>
  <c r="X854" i="17"/>
  <c r="X850" i="17"/>
  <c r="X846" i="17"/>
  <c r="X842" i="17"/>
  <c r="X1033" i="17"/>
  <c r="X1029" i="17"/>
  <c r="X1005" i="17"/>
  <c r="X1002" i="17"/>
  <c r="X981" i="17"/>
  <c r="X954" i="17"/>
  <c r="X949" i="17"/>
  <c r="X924" i="17"/>
  <c r="X922" i="17"/>
  <c r="X897" i="17"/>
  <c r="X894" i="17"/>
  <c r="X973" i="17"/>
  <c r="X970" i="17"/>
  <c r="X941" i="17"/>
  <c r="X936" i="17"/>
  <c r="X934" i="17"/>
  <c r="X904" i="17"/>
  <c r="X902" i="17"/>
  <c r="X898" i="17"/>
  <c r="X892" i="17"/>
  <c r="X888" i="17"/>
  <c r="X884" i="17"/>
  <c r="X880" i="17"/>
  <c r="X876" i="17"/>
  <c r="X872" i="17"/>
  <c r="X868" i="17"/>
  <c r="X864" i="17"/>
  <c r="X860" i="17"/>
  <c r="X856" i="17"/>
  <c r="X852" i="17"/>
  <c r="X957" i="17"/>
  <c r="X930" i="17"/>
  <c r="X906" i="17"/>
  <c r="X879" i="17"/>
  <c r="X877" i="17"/>
  <c r="X838" i="17"/>
  <c r="X834" i="17"/>
  <c r="X830" i="17"/>
  <c r="X826" i="17"/>
  <c r="X822" i="17"/>
  <c r="X818" i="17"/>
  <c r="X814" i="17"/>
  <c r="X810" i="17"/>
  <c r="X806" i="17"/>
  <c r="X802" i="17"/>
  <c r="X798" i="17"/>
  <c r="X1045" i="17"/>
  <c r="X962" i="17"/>
  <c r="X926" i="17"/>
  <c r="X916" i="17"/>
  <c r="X883" i="17"/>
  <c r="X881" i="17"/>
  <c r="X998" i="17"/>
  <c r="X982" i="17"/>
  <c r="X928" i="17"/>
  <c r="X893" i="17"/>
  <c r="X863" i="17"/>
  <c r="X861" i="17"/>
  <c r="X843" i="17"/>
  <c r="X840" i="17"/>
  <c r="X836" i="17"/>
  <c r="X832" i="17"/>
  <c r="X828" i="17"/>
  <c r="X824" i="17"/>
  <c r="X820" i="17"/>
  <c r="X816" i="17"/>
  <c r="X812" i="17"/>
  <c r="X808" i="17"/>
  <c r="X969" i="17"/>
  <c r="X1013" i="17"/>
  <c r="X994" i="17"/>
  <c r="X986" i="17"/>
  <c r="X1041" i="17"/>
  <c r="X1001" i="17"/>
  <c r="X966" i="17"/>
  <c r="X938" i="17"/>
  <c r="X932" i="17"/>
  <c r="X871" i="17"/>
  <c r="X811" i="17"/>
  <c r="X809" i="17"/>
  <c r="X943" i="17"/>
  <c r="X910" i="17"/>
  <c r="X891" i="17"/>
  <c r="X867" i="17"/>
  <c r="X857" i="17"/>
  <c r="X848" i="17"/>
  <c r="X841" i="17"/>
  <c r="X815" i="17"/>
  <c r="X813" i="17"/>
  <c r="X799" i="17"/>
  <c r="X796" i="17"/>
  <c r="X792" i="17"/>
  <c r="X788" i="17"/>
  <c r="X784" i="17"/>
  <c r="X780" i="17"/>
  <c r="X776" i="17"/>
  <c r="X772" i="17"/>
  <c r="X768" i="17"/>
  <c r="X764" i="17"/>
  <c r="X760" i="17"/>
  <c r="X756" i="17"/>
  <c r="X752" i="17"/>
  <c r="X748" i="17"/>
  <c r="X744" i="17"/>
  <c r="X740" i="17"/>
  <c r="X736" i="17"/>
  <c r="X732" i="17"/>
  <c r="X728" i="17"/>
  <c r="X724" i="17"/>
  <c r="X720" i="17"/>
  <c r="X716" i="17"/>
  <c r="X712" i="17"/>
  <c r="X708" i="17"/>
  <c r="X704" i="17"/>
  <c r="X700" i="17"/>
  <c r="X696" i="17"/>
  <c r="X692" i="17"/>
  <c r="X688" i="17"/>
  <c r="X684" i="17"/>
  <c r="X680" i="17"/>
  <c r="X676" i="17"/>
  <c r="X672" i="17"/>
  <c r="X668" i="17"/>
  <c r="X664" i="17"/>
  <c r="X660" i="17"/>
  <c r="X656" i="17"/>
  <c r="X652" i="17"/>
  <c r="X1017" i="17"/>
  <c r="X873" i="17"/>
  <c r="X859" i="17"/>
  <c r="X827" i="17"/>
  <c r="X825" i="17"/>
  <c r="X803" i="17"/>
  <c r="X800" i="17"/>
  <c r="X797" i="17"/>
  <c r="X855" i="17"/>
  <c r="X839" i="17"/>
  <c r="X785" i="17"/>
  <c r="X783" i="17"/>
  <c r="X770" i="17"/>
  <c r="X753" i="17"/>
  <c r="X751" i="17"/>
  <c r="X738" i="17"/>
  <c r="X721" i="17"/>
  <c r="X719" i="17"/>
  <c r="X706" i="17"/>
  <c r="X689" i="17"/>
  <c r="X687" i="17"/>
  <c r="X674" i="17"/>
  <c r="X657" i="17"/>
  <c r="X989" i="17"/>
  <c r="X865" i="17"/>
  <c r="X831" i="17"/>
  <c r="X821" i="17"/>
  <c r="X793" i="17"/>
  <c r="X791" i="17"/>
  <c r="X778" i="17"/>
  <c r="X761" i="17"/>
  <c r="X759" i="17"/>
  <c r="X746" i="17"/>
  <c r="X729" i="17"/>
  <c r="X727" i="17"/>
  <c r="X714" i="17"/>
  <c r="X697" i="17"/>
  <c r="X695" i="17"/>
  <c r="X951" i="17"/>
  <c r="X914" i="17"/>
  <c r="X875" i="17"/>
  <c r="X869" i="17"/>
  <c r="X786" i="17"/>
  <c r="X769" i="17"/>
  <c r="X767" i="17"/>
  <c r="X754" i="17"/>
  <c r="X737" i="17"/>
  <c r="X735" i="17"/>
  <c r="X722" i="17"/>
  <c r="X705" i="17"/>
  <c r="X703" i="17"/>
  <c r="X690" i="17"/>
  <c r="X1037" i="17"/>
  <c r="X896" i="17"/>
  <c r="X887" i="17"/>
  <c r="X829" i="17"/>
  <c r="X823" i="17"/>
  <c r="X807" i="17"/>
  <c r="X775" i="17"/>
  <c r="X734" i="17"/>
  <c r="X717" i="17"/>
  <c r="X710" i="17"/>
  <c r="X693" i="17"/>
  <c r="X686" i="17"/>
  <c r="X681" i="17"/>
  <c r="X659" i="17"/>
  <c r="X649" i="17"/>
  <c r="X645" i="17"/>
  <c r="X641" i="17"/>
  <c r="X637" i="17"/>
  <c r="X633" i="17"/>
  <c r="X629" i="17"/>
  <c r="X908" i="17"/>
  <c r="X845" i="17"/>
  <c r="X817" i="17"/>
  <c r="X795" i="17"/>
  <c r="X885" i="17"/>
  <c r="X851" i="17"/>
  <c r="X833" i="17"/>
  <c r="X844" i="17"/>
  <c r="X794" i="17"/>
  <c r="X777" i="17"/>
  <c r="X743" i="17"/>
  <c r="X702" i="17"/>
  <c r="X685" i="17"/>
  <c r="X663" i="17"/>
  <c r="X658" i="17"/>
  <c r="X946" i="17"/>
  <c r="X849" i="17"/>
  <c r="X837" i="17"/>
  <c r="X805" i="17"/>
  <c r="X790" i="17"/>
  <c r="X787" i="17"/>
  <c r="X773" i="17"/>
  <c r="X763" i="17"/>
  <c r="X739" i="17"/>
  <c r="X698" i="17"/>
  <c r="X682" i="17"/>
  <c r="X675" i="17"/>
  <c r="X670" i="17"/>
  <c r="X665" i="17"/>
  <c r="X647" i="17"/>
  <c r="X643" i="17"/>
  <c r="X639" i="17"/>
  <c r="X635" i="17"/>
  <c r="X631" i="17"/>
  <c r="X627" i="17"/>
  <c r="X945" i="17"/>
  <c r="X801" i="17"/>
  <c r="X766" i="17"/>
  <c r="X749" i="17"/>
  <c r="X742" i="17"/>
  <c r="X725" i="17"/>
  <c r="X718" i="17"/>
  <c r="X715" i="17"/>
  <c r="X701" i="17"/>
  <c r="X694" i="17"/>
  <c r="X691" i="17"/>
  <c r="X677" i="17"/>
  <c r="X653" i="17"/>
  <c r="X939" i="17"/>
  <c r="X889" i="17"/>
  <c r="X853" i="17"/>
  <c r="X847" i="17"/>
  <c r="X835" i="17"/>
  <c r="X789" i="17"/>
  <c r="X782" i="17"/>
  <c r="X779" i="17"/>
  <c r="X765" i="17"/>
  <c r="X758" i="17"/>
  <c r="X755" i="17"/>
  <c r="X741" i="17"/>
  <c r="X731" i="17"/>
  <c r="X707" i="17"/>
  <c r="X679" i="17"/>
  <c r="X669" i="17"/>
  <c r="X733" i="17"/>
  <c r="X750" i="17"/>
  <c r="X723" i="17"/>
  <c r="X713" i="17"/>
  <c r="X673" i="17"/>
  <c r="X666" i="17"/>
  <c r="X642" i="17"/>
  <c r="X620" i="17"/>
  <c r="X804" i="17"/>
  <c r="X730" i="17"/>
  <c r="X678" i="17"/>
  <c r="X638" i="17"/>
  <c r="X625" i="17"/>
  <c r="X618" i="17"/>
  <c r="X614" i="17"/>
  <c r="X610" i="17"/>
  <c r="X606" i="17"/>
  <c r="X602" i="17"/>
  <c r="X598" i="17"/>
  <c r="X594" i="17"/>
  <c r="X590" i="17"/>
  <c r="X586" i="17"/>
  <c r="X582" i="17"/>
  <c r="X578" i="17"/>
  <c r="X574" i="17"/>
  <c r="X570" i="17"/>
  <c r="X566" i="17"/>
  <c r="X912" i="17"/>
  <c r="X757" i="17"/>
  <c r="X711" i="17"/>
  <c r="X671" i="17"/>
  <c r="X648" i="17"/>
  <c r="X634" i="17"/>
  <c r="X623" i="17"/>
  <c r="X900" i="17"/>
  <c r="X774" i="17"/>
  <c r="X747" i="17"/>
  <c r="X644" i="17"/>
  <c r="X630" i="17"/>
  <c r="X621" i="17"/>
  <c r="X615" i="17"/>
  <c r="X611" i="17"/>
  <c r="X607" i="17"/>
  <c r="X603" i="17"/>
  <c r="X599" i="17"/>
  <c r="X595" i="17"/>
  <c r="X591" i="17"/>
  <c r="X587" i="17"/>
  <c r="X583" i="17"/>
  <c r="X579" i="17"/>
  <c r="X575" i="17"/>
  <c r="X571" i="17"/>
  <c r="X567" i="17"/>
  <c r="X563" i="17"/>
  <c r="X559" i="17"/>
  <c r="X555" i="17"/>
  <c r="X551" i="17"/>
  <c r="X547" i="17"/>
  <c r="X543" i="17"/>
  <c r="X539" i="17"/>
  <c r="X535" i="17"/>
  <c r="X531" i="17"/>
  <c r="X527" i="17"/>
  <c r="X523" i="17"/>
  <c r="X519" i="17"/>
  <c r="X515" i="17"/>
  <c r="X511" i="17"/>
  <c r="X507" i="17"/>
  <c r="X503" i="17"/>
  <c r="X499" i="17"/>
  <c r="X495" i="17"/>
  <c r="X491" i="17"/>
  <c r="X487" i="17"/>
  <c r="X483" i="17"/>
  <c r="X479" i="17"/>
  <c r="X475" i="17"/>
  <c r="X471" i="17"/>
  <c r="X467" i="17"/>
  <c r="X463" i="17"/>
  <c r="X459" i="17"/>
  <c r="X455" i="17"/>
  <c r="X451" i="17"/>
  <c r="X447" i="17"/>
  <c r="X443" i="17"/>
  <c r="X439" i="17"/>
  <c r="X435" i="17"/>
  <c r="X745" i="17"/>
  <c r="X709" i="17"/>
  <c r="X819" i="17"/>
  <c r="X661" i="17"/>
  <c r="X655" i="17"/>
  <c r="X650" i="17"/>
  <c r="X632" i="17"/>
  <c r="X626" i="17"/>
  <c r="X624" i="17"/>
  <c r="X654" i="17"/>
  <c r="X613" i="17"/>
  <c r="X588" i="17"/>
  <c r="X581" i="17"/>
  <c r="X568" i="17"/>
  <c r="X548" i="17"/>
  <c r="X546" i="17"/>
  <c r="X533" i="17"/>
  <c r="X516" i="17"/>
  <c r="X514" i="17"/>
  <c r="X726" i="17"/>
  <c r="X651" i="17"/>
  <c r="X616" i="17"/>
  <c r="X609" i="17"/>
  <c r="X584" i="17"/>
  <c r="X577" i="17"/>
  <c r="X565" i="17"/>
  <c r="X552" i="17"/>
  <c r="X550" i="17"/>
  <c r="X537" i="17"/>
  <c r="X520" i="17"/>
  <c r="X518" i="17"/>
  <c r="X505" i="17"/>
  <c r="X488" i="17"/>
  <c r="X486" i="17"/>
  <c r="X473" i="17"/>
  <c r="X456" i="17"/>
  <c r="X454" i="17"/>
  <c r="X441" i="17"/>
  <c r="X683" i="17"/>
  <c r="X667" i="17"/>
  <c r="X640" i="17"/>
  <c r="X619" i="17"/>
  <c r="X612" i="17"/>
  <c r="X605" i="17"/>
  <c r="X580" i="17"/>
  <c r="X573" i="17"/>
  <c r="X556" i="17"/>
  <c r="X554" i="17"/>
  <c r="X541" i="17"/>
  <c r="X524" i="17"/>
  <c r="X522" i="17"/>
  <c r="X509" i="17"/>
  <c r="X492" i="17"/>
  <c r="X490" i="17"/>
  <c r="X477" i="17"/>
  <c r="X460" i="17"/>
  <c r="X458" i="17"/>
  <c r="X445" i="17"/>
  <c r="X433" i="17"/>
  <c r="X781" i="17"/>
  <c r="X608" i="17"/>
  <c r="X601" i="17"/>
  <c r="X576" i="17"/>
  <c r="X560" i="17"/>
  <c r="X558" i="17"/>
  <c r="X545" i="17"/>
  <c r="X528" i="17"/>
  <c r="X526" i="17"/>
  <c r="X513" i="17"/>
  <c r="X496" i="17"/>
  <c r="X494" i="17"/>
  <c r="X481" i="17"/>
  <c r="X464" i="17"/>
  <c r="X462" i="17"/>
  <c r="X449" i="17"/>
  <c r="X430" i="17"/>
  <c r="X426" i="17"/>
  <c r="X422" i="17"/>
  <c r="X418" i="17"/>
  <c r="X414" i="17"/>
  <c r="X410" i="17"/>
  <c r="X406" i="17"/>
  <c r="X402" i="17"/>
  <c r="X398" i="17"/>
  <c r="X394" i="17"/>
  <c r="X390" i="17"/>
  <c r="X386" i="17"/>
  <c r="X382" i="17"/>
  <c r="X378" i="17"/>
  <c r="X374" i="17"/>
  <c r="X370" i="17"/>
  <c r="X366" i="17"/>
  <c r="X362" i="17"/>
  <c r="X358" i="17"/>
  <c r="X354" i="17"/>
  <c r="X350" i="17"/>
  <c r="X346" i="17"/>
  <c r="X342" i="17"/>
  <c r="X338" i="17"/>
  <c r="X334" i="17"/>
  <c r="X330" i="17"/>
  <c r="X771" i="17"/>
  <c r="X662" i="17"/>
  <c r="X604" i="17"/>
  <c r="X597" i="17"/>
  <c r="X572" i="17"/>
  <c r="X564" i="17"/>
  <c r="X562" i="17"/>
  <c r="X549" i="17"/>
  <c r="X532" i="17"/>
  <c r="X530" i="17"/>
  <c r="X517" i="17"/>
  <c r="X762" i="17"/>
  <c r="X699" i="17"/>
  <c r="X628" i="17"/>
  <c r="X600" i="17"/>
  <c r="X593" i="17"/>
  <c r="X569" i="17"/>
  <c r="X553" i="17"/>
  <c r="X536" i="17"/>
  <c r="X534" i="17"/>
  <c r="X521" i="17"/>
  <c r="X504" i="17"/>
  <c r="X502" i="17"/>
  <c r="X489" i="17"/>
  <c r="X472" i="17"/>
  <c r="X470" i="17"/>
  <c r="X457" i="17"/>
  <c r="X440" i="17"/>
  <c r="X438" i="17"/>
  <c r="X436" i="17"/>
  <c r="X431" i="17"/>
  <c r="X427" i="17"/>
  <c r="X423" i="17"/>
  <c r="X419" i="17"/>
  <c r="X415" i="17"/>
  <c r="X411" i="17"/>
  <c r="X407" i="17"/>
  <c r="X403" i="17"/>
  <c r="X399" i="17"/>
  <c r="X395" i="17"/>
  <c r="X391" i="17"/>
  <c r="X387" i="17"/>
  <c r="X383" i="17"/>
  <c r="X379" i="17"/>
  <c r="X375" i="17"/>
  <c r="X371" i="17"/>
  <c r="X367" i="17"/>
  <c r="X363" i="17"/>
  <c r="X359" i="17"/>
  <c r="X355" i="17"/>
  <c r="X351" i="17"/>
  <c r="X617" i="17"/>
  <c r="X592" i="17"/>
  <c r="X585" i="17"/>
  <c r="X561" i="17"/>
  <c r="X544" i="17"/>
  <c r="X542" i="17"/>
  <c r="X529" i="17"/>
  <c r="X512" i="17"/>
  <c r="X510" i="17"/>
  <c r="X497" i="17"/>
  <c r="X480" i="17"/>
  <c r="X478" i="17"/>
  <c r="X465" i="17"/>
  <c r="X448" i="17"/>
  <c r="X446" i="17"/>
  <c r="X432" i="17"/>
  <c r="X428" i="17"/>
  <c r="X424" i="17"/>
  <c r="X420" i="17"/>
  <c r="X416" i="17"/>
  <c r="X412" i="17"/>
  <c r="X408" i="17"/>
  <c r="X404" i="17"/>
  <c r="X400" i="17"/>
  <c r="X396" i="17"/>
  <c r="X392" i="17"/>
  <c r="X388" i="17"/>
  <c r="X384" i="17"/>
  <c r="X380" i="17"/>
  <c r="X376" i="17"/>
  <c r="X372" i="17"/>
  <c r="X368" i="17"/>
  <c r="X364" i="17"/>
  <c r="X360" i="17"/>
  <c r="X356" i="17"/>
  <c r="X352" i="17"/>
  <c r="X348" i="17"/>
  <c r="X344" i="17"/>
  <c r="X340" i="17"/>
  <c r="X336" i="17"/>
  <c r="X332" i="17"/>
  <c r="X328" i="17"/>
  <c r="X589" i="17"/>
  <c r="X501" i="17"/>
  <c r="X484" i="17"/>
  <c r="X461" i="17"/>
  <c r="X450" i="17"/>
  <c r="X444" i="17"/>
  <c r="X434" i="17"/>
  <c r="X397" i="17"/>
  <c r="X365" i="17"/>
  <c r="X343" i="17"/>
  <c r="X326" i="17"/>
  <c r="X322" i="17"/>
  <c r="X318" i="17"/>
  <c r="X314" i="17"/>
  <c r="X310" i="17"/>
  <c r="X306" i="17"/>
  <c r="X500" i="17"/>
  <c r="X466" i="17"/>
  <c r="X401" i="17"/>
  <c r="X369" i="17"/>
  <c r="X341" i="17"/>
  <c r="X525" i="17"/>
  <c r="X508" i="17"/>
  <c r="X437" i="17"/>
  <c r="X425" i="17"/>
  <c r="X417" i="17"/>
  <c r="X405" i="17"/>
  <c r="X373" i="17"/>
  <c r="X339" i="17"/>
  <c r="X327" i="17"/>
  <c r="X323" i="17"/>
  <c r="X319" i="17"/>
  <c r="X315" i="17"/>
  <c r="X557" i="17"/>
  <c r="X540" i="17"/>
  <c r="X506" i="17"/>
  <c r="X493" i="17"/>
  <c r="X482" i="17"/>
  <c r="X476" i="17"/>
  <c r="X453" i="17"/>
  <c r="X442" i="17"/>
  <c r="X409" i="17"/>
  <c r="X377" i="17"/>
  <c r="X337" i="17"/>
  <c r="X646" i="17"/>
  <c r="X538" i="17"/>
  <c r="X498" i="17"/>
  <c r="X381" i="17"/>
  <c r="X335" i="17"/>
  <c r="X324" i="17"/>
  <c r="X320" i="17"/>
  <c r="X316" i="17"/>
  <c r="X312" i="17"/>
  <c r="X308" i="17"/>
  <c r="X304" i="17"/>
  <c r="X300" i="17"/>
  <c r="X296" i="17"/>
  <c r="X292" i="17"/>
  <c r="X288" i="17"/>
  <c r="X284" i="17"/>
  <c r="X280" i="17"/>
  <c r="X276" i="17"/>
  <c r="X272" i="17"/>
  <c r="X268" i="17"/>
  <c r="X264" i="17"/>
  <c r="X260" i="17"/>
  <c r="X256" i="17"/>
  <c r="X252" i="17"/>
  <c r="X248" i="17"/>
  <c r="X244" i="17"/>
  <c r="X240" i="17"/>
  <c r="X236" i="17"/>
  <c r="X232" i="17"/>
  <c r="X228" i="17"/>
  <c r="X224" i="17"/>
  <c r="X220" i="17"/>
  <c r="X216" i="17"/>
  <c r="X212" i="17"/>
  <c r="X208" i="17"/>
  <c r="X204" i="17"/>
  <c r="X200" i="17"/>
  <c r="X196" i="17"/>
  <c r="X192" i="17"/>
  <c r="X188" i="17"/>
  <c r="X184" i="17"/>
  <c r="X180" i="17"/>
  <c r="X176" i="17"/>
  <c r="X172" i="17"/>
  <c r="X168" i="17"/>
  <c r="X636" i="17"/>
  <c r="X469" i="17"/>
  <c r="X452" i="17"/>
  <c r="X385" i="17"/>
  <c r="X353" i="17"/>
  <c r="X349" i="17"/>
  <c r="X622" i="17"/>
  <c r="X393" i="17"/>
  <c r="X361" i="17"/>
  <c r="X345" i="17"/>
  <c r="X329" i="17"/>
  <c r="X325" i="17"/>
  <c r="X297" i="17"/>
  <c r="X295" i="17"/>
  <c r="X282" i="17"/>
  <c r="X265" i="17"/>
  <c r="X263" i="17"/>
  <c r="X250" i="17"/>
  <c r="X233" i="17"/>
  <c r="X231" i="17"/>
  <c r="X218" i="17"/>
  <c r="X201" i="17"/>
  <c r="X199" i="17"/>
  <c r="X189" i="17"/>
  <c r="X173" i="17"/>
  <c r="X596" i="17"/>
  <c r="X485" i="17"/>
  <c r="X347" i="17"/>
  <c r="X321" i="17"/>
  <c r="X311" i="17"/>
  <c r="X301" i="17"/>
  <c r="X299" i="17"/>
  <c r="X286" i="17"/>
  <c r="X269" i="17"/>
  <c r="X267" i="17"/>
  <c r="X254" i="17"/>
  <c r="X237" i="17"/>
  <c r="X235" i="17"/>
  <c r="X222" i="17"/>
  <c r="X205" i="17"/>
  <c r="X203" i="17"/>
  <c r="X187" i="17"/>
  <c r="X178" i="17"/>
  <c r="X413" i="17"/>
  <c r="X317" i="17"/>
  <c r="X303" i="17"/>
  <c r="X290" i="17"/>
  <c r="X273" i="17"/>
  <c r="X271" i="17"/>
  <c r="X258" i="17"/>
  <c r="X241" i="17"/>
  <c r="X239" i="17"/>
  <c r="X226" i="17"/>
  <c r="X209" i="17"/>
  <c r="X207" i="17"/>
  <c r="X194" i="17"/>
  <c r="X185" i="17"/>
  <c r="X169" i="17"/>
  <c r="X474" i="17"/>
  <c r="X333" i="17"/>
  <c r="X313" i="17"/>
  <c r="X305" i="17"/>
  <c r="X294" i="17"/>
  <c r="X277" i="17"/>
  <c r="X275" i="17"/>
  <c r="X262" i="17"/>
  <c r="X245" i="17"/>
  <c r="X243" i="17"/>
  <c r="X230" i="17"/>
  <c r="X213" i="17"/>
  <c r="X211" i="17"/>
  <c r="X198" i="17"/>
  <c r="X190" i="17"/>
  <c r="X183" i="17"/>
  <c r="X174" i="17"/>
  <c r="X167" i="17"/>
  <c r="X164" i="17"/>
  <c r="X160" i="17"/>
  <c r="X156" i="17"/>
  <c r="X152" i="17"/>
  <c r="X148" i="17"/>
  <c r="X144" i="17"/>
  <c r="X140" i="17"/>
  <c r="X136" i="17"/>
  <c r="X132" i="17"/>
  <c r="X128" i="17"/>
  <c r="X124" i="17"/>
  <c r="X120" i="17"/>
  <c r="X116" i="17"/>
  <c r="X112" i="17"/>
  <c r="X108" i="17"/>
  <c r="X104" i="17"/>
  <c r="X100" i="17"/>
  <c r="X96" i="17"/>
  <c r="X92" i="17"/>
  <c r="X88" i="17"/>
  <c r="X84" i="17"/>
  <c r="X80" i="17"/>
  <c r="X76" i="17"/>
  <c r="X72" i="17"/>
  <c r="X68" i="17"/>
  <c r="X64" i="17"/>
  <c r="X60" i="17"/>
  <c r="X56" i="17"/>
  <c r="X52" i="17"/>
  <c r="X48" i="17"/>
  <c r="X44" i="17"/>
  <c r="X40" i="17"/>
  <c r="X36" i="17"/>
  <c r="X32" i="17"/>
  <c r="X468" i="17"/>
  <c r="X429" i="17"/>
  <c r="X357" i="17"/>
  <c r="X298" i="17"/>
  <c r="X281" i="17"/>
  <c r="X279" i="17"/>
  <c r="X266" i="17"/>
  <c r="X249" i="17"/>
  <c r="X247" i="17"/>
  <c r="X234" i="17"/>
  <c r="X217" i="17"/>
  <c r="X215" i="17"/>
  <c r="X202" i="17"/>
  <c r="X181" i="17"/>
  <c r="X389" i="17"/>
  <c r="X307" i="17"/>
  <c r="X302" i="17"/>
  <c r="X285" i="17"/>
  <c r="X283" i="17"/>
  <c r="X270" i="17"/>
  <c r="X253" i="17"/>
  <c r="X251" i="17"/>
  <c r="X238" i="17"/>
  <c r="X221" i="17"/>
  <c r="X219" i="17"/>
  <c r="X206" i="17"/>
  <c r="X186" i="17"/>
  <c r="X179" i="17"/>
  <c r="X170" i="17"/>
  <c r="X165" i="17"/>
  <c r="X161" i="17"/>
  <c r="X157" i="17"/>
  <c r="X153" i="17"/>
  <c r="X149" i="17"/>
  <c r="X145" i="17"/>
  <c r="X141" i="17"/>
  <c r="X137" i="17"/>
  <c r="X133" i="17"/>
  <c r="X129" i="17"/>
  <c r="X125" i="17"/>
  <c r="X121" i="17"/>
  <c r="X117" i="17"/>
  <c r="X113" i="17"/>
  <c r="X109" i="17"/>
  <c r="X105" i="17"/>
  <c r="X101" i="17"/>
  <c r="X97" i="17"/>
  <c r="X93" i="17"/>
  <c r="X89" i="17"/>
  <c r="X85" i="17"/>
  <c r="X81" i="17"/>
  <c r="X77" i="17"/>
  <c r="X73" i="17"/>
  <c r="X69" i="17"/>
  <c r="X65" i="17"/>
  <c r="X61" i="17"/>
  <c r="X57" i="17"/>
  <c r="X53" i="17"/>
  <c r="X421" i="17"/>
  <c r="X309" i="17"/>
  <c r="X293" i="17"/>
  <c r="X291" i="17"/>
  <c r="X278" i="17"/>
  <c r="X261" i="17"/>
  <c r="X259" i="17"/>
  <c r="X246" i="17"/>
  <c r="X229" i="17"/>
  <c r="X227" i="17"/>
  <c r="X214" i="17"/>
  <c r="X197" i="17"/>
  <c r="X195" i="17"/>
  <c r="X191" i="17"/>
  <c r="X182" i="17"/>
  <c r="X175" i="17"/>
  <c r="X166" i="17"/>
  <c r="X162" i="17"/>
  <c r="X158" i="17"/>
  <c r="X154" i="17"/>
  <c r="X150" i="17"/>
  <c r="X146" i="17"/>
  <c r="X142" i="17"/>
  <c r="X138" i="17"/>
  <c r="X134" i="17"/>
  <c r="X130" i="17"/>
  <c r="X126" i="17"/>
  <c r="X122" i="17"/>
  <c r="X118" i="17"/>
  <c r="X114" i="17"/>
  <c r="X110" i="17"/>
  <c r="X106" i="17"/>
  <c r="X102" i="17"/>
  <c r="X98" i="17"/>
  <c r="X94" i="17"/>
  <c r="X90" i="17"/>
  <c r="X86" i="17"/>
  <c r="X82" i="17"/>
  <c r="X78" i="17"/>
  <c r="X74" i="17"/>
  <c r="X70" i="17"/>
  <c r="X66" i="17"/>
  <c r="X62" i="17"/>
  <c r="X58" i="17"/>
  <c r="X54" i="17"/>
  <c r="X50" i="17"/>
  <c r="X46" i="17"/>
  <c r="X42" i="17"/>
  <c r="X38" i="17"/>
  <c r="X34" i="17"/>
  <c r="X30" i="17"/>
  <c r="X331" i="17"/>
  <c r="X287" i="17"/>
  <c r="X147" i="17"/>
  <c r="X115" i="17"/>
  <c r="X83" i="17"/>
  <c r="X51" i="17"/>
  <c r="X35" i="17"/>
  <c r="X23" i="17"/>
  <c r="X19" i="17"/>
  <c r="X15" i="17"/>
  <c r="X11" i="17"/>
  <c r="X257" i="17"/>
  <c r="X139" i="17"/>
  <c r="X22" i="17"/>
  <c r="X151" i="17"/>
  <c r="X119" i="17"/>
  <c r="X87" i="17"/>
  <c r="X55" i="17"/>
  <c r="X49" i="17"/>
  <c r="X33" i="17"/>
  <c r="X223" i="17"/>
  <c r="X75" i="17"/>
  <c r="X10" i="17"/>
  <c r="X171" i="17"/>
  <c r="X123" i="17"/>
  <c r="X91" i="17"/>
  <c r="X59" i="17"/>
  <c r="X47" i="17"/>
  <c r="X31" i="17"/>
  <c r="X28" i="17"/>
  <c r="X24" i="17"/>
  <c r="X20" i="17"/>
  <c r="X16" i="17"/>
  <c r="X12" i="17"/>
  <c r="X8" i="17"/>
  <c r="X39" i="17"/>
  <c r="X26" i="17"/>
  <c r="X6" i="17"/>
  <c r="X127" i="17"/>
  <c r="X95" i="17"/>
  <c r="X63" i="17"/>
  <c r="X45" i="17"/>
  <c r="X210" i="17"/>
  <c r="X193" i="17"/>
  <c r="X163" i="17"/>
  <c r="X159" i="17"/>
  <c r="X131" i="17"/>
  <c r="X99" i="17"/>
  <c r="X67" i="17"/>
  <c r="X43" i="17"/>
  <c r="X29" i="17"/>
  <c r="X25" i="17"/>
  <c r="X21" i="17"/>
  <c r="X17" i="17"/>
  <c r="X13" i="17"/>
  <c r="X9" i="17"/>
  <c r="X4" i="17"/>
  <c r="X71" i="17"/>
  <c r="X41" i="17"/>
  <c r="X107" i="17"/>
  <c r="X14" i="17"/>
  <c r="X242" i="17"/>
  <c r="X225" i="17"/>
  <c r="X177" i="17"/>
  <c r="X155" i="17"/>
  <c r="X135" i="17"/>
  <c r="X103" i="17"/>
  <c r="X274" i="17"/>
  <c r="X289" i="17"/>
  <c r="X255" i="17"/>
  <c r="X143" i="17"/>
  <c r="X111" i="17"/>
  <c r="X79" i="17"/>
  <c r="X37" i="17"/>
  <c r="X27" i="17"/>
  <c r="X7" i="17"/>
  <c r="X18" i="17"/>
  <c r="Y1048" i="17"/>
  <c r="Y1044" i="17"/>
  <c r="Y1040" i="17"/>
  <c r="Y1036" i="17"/>
  <c r="Y1032" i="17"/>
  <c r="Y1028" i="17"/>
  <c r="Y1024" i="17"/>
  <c r="Y1020" i="17"/>
  <c r="Y1016" i="17"/>
  <c r="Y1012" i="17"/>
  <c r="Y1008" i="17"/>
  <c r="Y1004" i="17"/>
  <c r="Y1000" i="17"/>
  <c r="Y996" i="17"/>
  <c r="Y992" i="17"/>
  <c r="Y988" i="17"/>
  <c r="Y984" i="17"/>
  <c r="Y980" i="17"/>
  <c r="Y976" i="17"/>
  <c r="Y972" i="17"/>
  <c r="Y968" i="17"/>
  <c r="Y964" i="17"/>
  <c r="Y960" i="17"/>
  <c r="Y956" i="17"/>
  <c r="E5" i="17"/>
  <c r="Y1047" i="17"/>
  <c r="Y1039" i="17"/>
  <c r="Y1031" i="17"/>
  <c r="Y1023" i="17"/>
  <c r="Y1015" i="17"/>
  <c r="Y1010" i="17"/>
  <c r="Y997" i="17"/>
  <c r="Y991" i="17"/>
  <c r="Y978" i="17"/>
  <c r="Y965" i="17"/>
  <c r="Y959" i="17"/>
  <c r="Y1041" i="17"/>
  <c r="Y1033" i="17"/>
  <c r="Y1025" i="17"/>
  <c r="Y1017" i="17"/>
  <c r="Y1001" i="17"/>
  <c r="Y995" i="17"/>
  <c r="Y982" i="17"/>
  <c r="Y969" i="17"/>
  <c r="Y963" i="17"/>
  <c r="Y945" i="17"/>
  <c r="Y942" i="17"/>
  <c r="Y939" i="17"/>
  <c r="Y936" i="17"/>
  <c r="Y932" i="17"/>
  <c r="Y928" i="17"/>
  <c r="Y924" i="17"/>
  <c r="Y920" i="17"/>
  <c r="Y916" i="17"/>
  <c r="Y912" i="17"/>
  <c r="Y908" i="17"/>
  <c r="Y904" i="17"/>
  <c r="Y900" i="17"/>
  <c r="Y1043" i="17"/>
  <c r="Y1035" i="17"/>
  <c r="Y1027" i="17"/>
  <c r="Y1019" i="17"/>
  <c r="Y1007" i="17"/>
  <c r="Y994" i="17"/>
  <c r="Y981" i="17"/>
  <c r="Y975" i="17"/>
  <c r="Y962" i="17"/>
  <c r="Y949" i="17"/>
  <c r="Y946" i="17"/>
  <c r="Y943" i="17"/>
  <c r="Y940" i="17"/>
  <c r="Y1038" i="17"/>
  <c r="Y1034" i="17"/>
  <c r="Y1029" i="17"/>
  <c r="Y1005" i="17"/>
  <c r="Y1002" i="17"/>
  <c r="Y961" i="17"/>
  <c r="Y954" i="17"/>
  <c r="Y947" i="17"/>
  <c r="Y937" i="17"/>
  <c r="Y935" i="17"/>
  <c r="Y922" i="17"/>
  <c r="Y905" i="17"/>
  <c r="Y903" i="17"/>
  <c r="Y897" i="17"/>
  <c r="Y894" i="17"/>
  <c r="Y1046" i="17"/>
  <c r="Y1042" i="17"/>
  <c r="Y1037" i="17"/>
  <c r="Y998" i="17"/>
  <c r="Y971" i="17"/>
  <c r="Y957" i="17"/>
  <c r="Y926" i="17"/>
  <c r="Y909" i="17"/>
  <c r="Y907" i="17"/>
  <c r="Y891" i="17"/>
  <c r="Y887" i="17"/>
  <c r="Y883" i="17"/>
  <c r="Y879" i="17"/>
  <c r="Y875" i="17"/>
  <c r="Y871" i="17"/>
  <c r="Y867" i="17"/>
  <c r="Y863" i="17"/>
  <c r="Y859" i="17"/>
  <c r="Y855" i="17"/>
  <c r="Y990" i="17"/>
  <c r="Y987" i="17"/>
  <c r="Y966" i="17"/>
  <c r="Y953" i="17"/>
  <c r="Y948" i="17"/>
  <c r="Y921" i="17"/>
  <c r="Y919" i="17"/>
  <c r="Y906" i="17"/>
  <c r="Y1045" i="17"/>
  <c r="Y1026" i="17"/>
  <c r="Y979" i="17"/>
  <c r="Y973" i="17"/>
  <c r="Y923" i="17"/>
  <c r="Y881" i="17"/>
  <c r="Y864" i="17"/>
  <c r="Y862" i="17"/>
  <c r="Y1018" i="17"/>
  <c r="Y1011" i="17"/>
  <c r="Y1006" i="17"/>
  <c r="Y989" i="17"/>
  <c r="Y967" i="17"/>
  <c r="Y952" i="17"/>
  <c r="Y944" i="17"/>
  <c r="Y933" i="17"/>
  <c r="Y902" i="17"/>
  <c r="Y899" i="17"/>
  <c r="Y896" i="17"/>
  <c r="Y885" i="17"/>
  <c r="Y868" i="17"/>
  <c r="Y866" i="17"/>
  <c r="Y853" i="17"/>
  <c r="Y851" i="17"/>
  <c r="Y848" i="17"/>
  <c r="Y845" i="17"/>
  <c r="Y842" i="17"/>
  <c r="Y839" i="17"/>
  <c r="Y835" i="17"/>
  <c r="Y831" i="17"/>
  <c r="Y827" i="17"/>
  <c r="Y823" i="17"/>
  <c r="Y819" i="17"/>
  <c r="Y815" i="17"/>
  <c r="Y811" i="17"/>
  <c r="Y807" i="17"/>
  <c r="Y1022" i="17"/>
  <c r="Y1009" i="17"/>
  <c r="Y955" i="17"/>
  <c r="Y918" i="17"/>
  <c r="Y911" i="17"/>
  <c r="Y901" i="17"/>
  <c r="Y880" i="17"/>
  <c r="Y878" i="17"/>
  <c r="Y865" i="17"/>
  <c r="Y849" i="17"/>
  <c r="Y846" i="17"/>
  <c r="Y1013" i="17"/>
  <c r="Y986" i="17"/>
  <c r="Y977" i="17"/>
  <c r="Y1003" i="17"/>
  <c r="Y1021" i="17"/>
  <c r="Y993" i="17"/>
  <c r="Y985" i="17"/>
  <c r="Y983" i="17"/>
  <c r="Y958" i="17"/>
  <c r="Y950" i="17"/>
  <c r="Y927" i="17"/>
  <c r="Y910" i="17"/>
  <c r="Y895" i="17"/>
  <c r="Y888" i="17"/>
  <c r="Y857" i="17"/>
  <c r="Y854" i="17"/>
  <c r="Y841" i="17"/>
  <c r="Y828" i="17"/>
  <c r="Y826" i="17"/>
  <c r="Y813" i="17"/>
  <c r="Y799" i="17"/>
  <c r="Y796" i="17"/>
  <c r="Y792" i="17"/>
  <c r="Y788" i="17"/>
  <c r="Y784" i="17"/>
  <c r="Y780" i="17"/>
  <c r="Y776" i="17"/>
  <c r="Y772" i="17"/>
  <c r="Y768" i="17"/>
  <c r="Y764" i="17"/>
  <c r="Y760" i="17"/>
  <c r="Y756" i="17"/>
  <c r="Y752" i="17"/>
  <c r="Y748" i="17"/>
  <c r="Y744" i="17"/>
  <c r="Y740" i="17"/>
  <c r="Y736" i="17"/>
  <c r="Y732" i="17"/>
  <c r="Y728" i="17"/>
  <c r="Y724" i="17"/>
  <c r="Y720" i="17"/>
  <c r="Y716" i="17"/>
  <c r="Y712" i="17"/>
  <c r="Y708" i="17"/>
  <c r="Y704" i="17"/>
  <c r="Y700" i="17"/>
  <c r="Y696" i="17"/>
  <c r="Y692" i="17"/>
  <c r="Y688" i="17"/>
  <c r="Y684" i="17"/>
  <c r="Y680" i="17"/>
  <c r="Y676" i="17"/>
  <c r="Y672" i="17"/>
  <c r="Y668" i="17"/>
  <c r="Y664" i="17"/>
  <c r="Y660" i="17"/>
  <c r="Y656" i="17"/>
  <c r="Y1030" i="17"/>
  <c r="Y974" i="17"/>
  <c r="Y915" i="17"/>
  <c r="Y884" i="17"/>
  <c r="Y874" i="17"/>
  <c r="Y843" i="17"/>
  <c r="Y832" i="17"/>
  <c r="Y830" i="17"/>
  <c r="Y817" i="17"/>
  <c r="Y805" i="17"/>
  <c r="Y802" i="17"/>
  <c r="Y999" i="17"/>
  <c r="Y1014" i="17"/>
  <c r="Y970" i="17"/>
  <c r="Y941" i="17"/>
  <c r="Y929" i="17"/>
  <c r="Y913" i="17"/>
  <c r="Y893" i="17"/>
  <c r="Y890" i="17"/>
  <c r="Y876" i="17"/>
  <c r="Y869" i="17"/>
  <c r="Y852" i="17"/>
  <c r="Y847" i="17"/>
  <c r="Y829" i="17"/>
  <c r="Y812" i="17"/>
  <c r="Y810" i="17"/>
  <c r="Y806" i="17"/>
  <c r="Y794" i="17"/>
  <c r="Y790" i="17"/>
  <c r="Y786" i="17"/>
  <c r="Y782" i="17"/>
  <c r="Y778" i="17"/>
  <c r="Y774" i="17"/>
  <c r="Y770" i="17"/>
  <c r="Y766" i="17"/>
  <c r="Y762" i="17"/>
  <c r="Y758" i="17"/>
  <c r="Y754" i="17"/>
  <c r="Y750" i="17"/>
  <c r="Y746" i="17"/>
  <c r="Y742" i="17"/>
  <c r="Y738" i="17"/>
  <c r="Y734" i="17"/>
  <c r="Y730" i="17"/>
  <c r="Y726" i="17"/>
  <c r="Y722" i="17"/>
  <c r="Y718" i="17"/>
  <c r="Y714" i="17"/>
  <c r="Y710" i="17"/>
  <c r="Y706" i="17"/>
  <c r="Y702" i="17"/>
  <c r="Y698" i="17"/>
  <c r="Y694" i="17"/>
  <c r="Y690" i="17"/>
  <c r="Y686" i="17"/>
  <c r="Y682" i="17"/>
  <c r="Y678" i="17"/>
  <c r="Y674" i="17"/>
  <c r="Y670" i="17"/>
  <c r="Y666" i="17"/>
  <c r="Y662" i="17"/>
  <c r="Y658" i="17"/>
  <c r="Y654" i="17"/>
  <c r="Y650" i="17"/>
  <c r="Y877" i="17"/>
  <c r="Y861" i="17"/>
  <c r="Y825" i="17"/>
  <c r="Y822" i="17"/>
  <c r="Y808" i="17"/>
  <c r="Y798" i="17"/>
  <c r="Y789" i="17"/>
  <c r="Y787" i="17"/>
  <c r="Y757" i="17"/>
  <c r="Y755" i="17"/>
  <c r="Y725" i="17"/>
  <c r="Y723" i="17"/>
  <c r="Y693" i="17"/>
  <c r="Y691" i="17"/>
  <c r="Y661" i="17"/>
  <c r="Y659" i="17"/>
  <c r="Y898" i="17"/>
  <c r="Y870" i="17"/>
  <c r="Y838" i="17"/>
  <c r="Y814" i="17"/>
  <c r="Y795" i="17"/>
  <c r="Y765" i="17"/>
  <c r="Y763" i="17"/>
  <c r="Y733" i="17"/>
  <c r="Y731" i="17"/>
  <c r="Y701" i="17"/>
  <c r="Y699" i="17"/>
  <c r="Y931" i="17"/>
  <c r="Y837" i="17"/>
  <c r="Y820" i="17"/>
  <c r="Y804" i="17"/>
  <c r="Y773" i="17"/>
  <c r="Y771" i="17"/>
  <c r="Y741" i="17"/>
  <c r="Y739" i="17"/>
  <c r="Y709" i="17"/>
  <c r="Y707" i="17"/>
  <c r="Y938" i="17"/>
  <c r="Y834" i="17"/>
  <c r="Y818" i="17"/>
  <c r="Y803" i="17"/>
  <c r="Y785" i="17"/>
  <c r="Y761" i="17"/>
  <c r="Y751" i="17"/>
  <c r="Y737" i="17"/>
  <c r="Y727" i="17"/>
  <c r="Y713" i="17"/>
  <c r="Y703" i="17"/>
  <c r="Y671" i="17"/>
  <c r="Y951" i="17"/>
  <c r="Y886" i="17"/>
  <c r="Y860" i="17"/>
  <c r="Y833" i="17"/>
  <c r="Y934" i="17"/>
  <c r="Y844" i="17"/>
  <c r="Y816" i="17"/>
  <c r="Y791" i="17"/>
  <c r="Y858" i="17"/>
  <c r="Y850" i="17"/>
  <c r="Y821" i="17"/>
  <c r="Y753" i="17"/>
  <c r="Y729" i="17"/>
  <c r="Y719" i="17"/>
  <c r="Y705" i="17"/>
  <c r="Y695" i="17"/>
  <c r="Y675" i="17"/>
  <c r="Y665" i="17"/>
  <c r="Y647" i="17"/>
  <c r="Y643" i="17"/>
  <c r="Y639" i="17"/>
  <c r="Y635" i="17"/>
  <c r="Y631" i="17"/>
  <c r="Y627" i="17"/>
  <c r="Y623" i="17"/>
  <c r="Y619" i="17"/>
  <c r="Y930" i="17"/>
  <c r="Y917" i="17"/>
  <c r="Y892" i="17"/>
  <c r="Y801" i="17"/>
  <c r="Y797" i="17"/>
  <c r="Y749" i="17"/>
  <c r="Y715" i="17"/>
  <c r="Y677" i="17"/>
  <c r="Y653" i="17"/>
  <c r="Y914" i="17"/>
  <c r="Y882" i="17"/>
  <c r="Y873" i="17"/>
  <c r="Y856" i="17"/>
  <c r="Y836" i="17"/>
  <c r="Y809" i="17"/>
  <c r="Y793" i="17"/>
  <c r="Y783" i="17"/>
  <c r="Y769" i="17"/>
  <c r="Y759" i="17"/>
  <c r="Y745" i="17"/>
  <c r="Y735" i="17"/>
  <c r="Y711" i="17"/>
  <c r="Y667" i="17"/>
  <c r="Y655" i="17"/>
  <c r="Y651" i="17"/>
  <c r="Y648" i="17"/>
  <c r="Y644" i="17"/>
  <c r="Y640" i="17"/>
  <c r="Y636" i="17"/>
  <c r="Y632" i="17"/>
  <c r="Y628" i="17"/>
  <c r="Y925" i="17"/>
  <c r="Y840" i="17"/>
  <c r="Y824" i="17"/>
  <c r="Y775" i="17"/>
  <c r="Y717" i="17"/>
  <c r="Y681" i="17"/>
  <c r="Y649" i="17"/>
  <c r="Y645" i="17"/>
  <c r="Y641" i="17"/>
  <c r="Y637" i="17"/>
  <c r="Y633" i="17"/>
  <c r="Y629" i="17"/>
  <c r="Y625" i="17"/>
  <c r="Y621" i="17"/>
  <c r="Y777" i="17"/>
  <c r="Y679" i="17"/>
  <c r="Y638" i="17"/>
  <c r="Y618" i="17"/>
  <c r="Y614" i="17"/>
  <c r="Y610" i="17"/>
  <c r="Y606" i="17"/>
  <c r="Y602" i="17"/>
  <c r="Y598" i="17"/>
  <c r="Y594" i="17"/>
  <c r="Y590" i="17"/>
  <c r="Y586" i="17"/>
  <c r="Y582" i="17"/>
  <c r="Y578" i="17"/>
  <c r="Y574" i="17"/>
  <c r="Y767" i="17"/>
  <c r="Y721" i="17"/>
  <c r="Y685" i="17"/>
  <c r="Y634" i="17"/>
  <c r="Y800" i="17"/>
  <c r="Y747" i="17"/>
  <c r="Y652" i="17"/>
  <c r="Y630" i="17"/>
  <c r="Y615" i="17"/>
  <c r="Y611" i="17"/>
  <c r="Y607" i="17"/>
  <c r="Y603" i="17"/>
  <c r="Y599" i="17"/>
  <c r="Y595" i="17"/>
  <c r="Y591" i="17"/>
  <c r="Y587" i="17"/>
  <c r="Y583" i="17"/>
  <c r="Y579" i="17"/>
  <c r="Y575" i="17"/>
  <c r="Y571" i="17"/>
  <c r="Y567" i="17"/>
  <c r="Y563" i="17"/>
  <c r="Y559" i="17"/>
  <c r="Y555" i="17"/>
  <c r="Y551" i="17"/>
  <c r="Y547" i="17"/>
  <c r="Y543" i="17"/>
  <c r="Y539" i="17"/>
  <c r="Y535" i="17"/>
  <c r="Y531" i="17"/>
  <c r="Y527" i="17"/>
  <c r="Y523" i="17"/>
  <c r="Y519" i="17"/>
  <c r="Y515" i="17"/>
  <c r="Y511" i="17"/>
  <c r="Y507" i="17"/>
  <c r="Y503" i="17"/>
  <c r="Y499" i="17"/>
  <c r="Y495" i="17"/>
  <c r="Y491" i="17"/>
  <c r="Y487" i="17"/>
  <c r="Y483" i="17"/>
  <c r="Y479" i="17"/>
  <c r="Y475" i="17"/>
  <c r="Y471" i="17"/>
  <c r="Y467" i="17"/>
  <c r="Y463" i="17"/>
  <c r="Y459" i="17"/>
  <c r="Y455" i="17"/>
  <c r="Y451" i="17"/>
  <c r="Y447" i="17"/>
  <c r="Y443" i="17"/>
  <c r="Y439" i="17"/>
  <c r="Y683" i="17"/>
  <c r="Y657" i="17"/>
  <c r="Y889" i="17"/>
  <c r="Y781" i="17"/>
  <c r="Y872" i="17"/>
  <c r="Y779" i="17"/>
  <c r="Y743" i="17"/>
  <c r="Y697" i="17"/>
  <c r="Y646" i="17"/>
  <c r="Y622" i="17"/>
  <c r="Y617" i="17"/>
  <c r="Y613" i="17"/>
  <c r="Y609" i="17"/>
  <c r="Y605" i="17"/>
  <c r="Y601" i="17"/>
  <c r="Y597" i="17"/>
  <c r="Y593" i="17"/>
  <c r="Y589" i="17"/>
  <c r="Y585" i="17"/>
  <c r="Y581" i="17"/>
  <c r="Y577" i="17"/>
  <c r="Y573" i="17"/>
  <c r="Y569" i="17"/>
  <c r="Y565" i="17"/>
  <c r="Y561" i="17"/>
  <c r="Y557" i="17"/>
  <c r="Y553" i="17"/>
  <c r="Y549" i="17"/>
  <c r="Y545" i="17"/>
  <c r="Y541" i="17"/>
  <c r="Y537" i="17"/>
  <c r="Y533" i="17"/>
  <c r="Y529" i="17"/>
  <c r="Y525" i="17"/>
  <c r="Y521" i="17"/>
  <c r="Y517" i="17"/>
  <c r="Y513" i="17"/>
  <c r="Y509" i="17"/>
  <c r="Y505" i="17"/>
  <c r="Y501" i="17"/>
  <c r="Y497" i="17"/>
  <c r="Y493" i="17"/>
  <c r="Y489" i="17"/>
  <c r="Y485" i="17"/>
  <c r="Y481" i="17"/>
  <c r="Y477" i="17"/>
  <c r="Y473" i="17"/>
  <c r="Y469" i="17"/>
  <c r="Y465" i="17"/>
  <c r="Y461" i="17"/>
  <c r="Y457" i="17"/>
  <c r="Y453" i="17"/>
  <c r="Y449" i="17"/>
  <c r="Y445" i="17"/>
  <c r="Y441" i="17"/>
  <c r="Y437" i="17"/>
  <c r="Y433" i="17"/>
  <c r="Y689" i="17"/>
  <c r="Y669" i="17"/>
  <c r="Y616" i="17"/>
  <c r="Y584" i="17"/>
  <c r="Y552" i="17"/>
  <c r="Y550" i="17"/>
  <c r="Y520" i="17"/>
  <c r="Y518" i="17"/>
  <c r="Y687" i="17"/>
  <c r="Y642" i="17"/>
  <c r="Y620" i="17"/>
  <c r="Y612" i="17"/>
  <c r="Y580" i="17"/>
  <c r="Y556" i="17"/>
  <c r="Y554" i="17"/>
  <c r="Y524" i="17"/>
  <c r="Y522" i="17"/>
  <c r="Y492" i="17"/>
  <c r="Y490" i="17"/>
  <c r="Y460" i="17"/>
  <c r="Y458" i="17"/>
  <c r="Y624" i="17"/>
  <c r="Y608" i="17"/>
  <c r="Y576" i="17"/>
  <c r="Y570" i="17"/>
  <c r="Y560" i="17"/>
  <c r="Y558" i="17"/>
  <c r="Y528" i="17"/>
  <c r="Y526" i="17"/>
  <c r="Y496" i="17"/>
  <c r="Y494" i="17"/>
  <c r="Y464" i="17"/>
  <c r="Y462" i="17"/>
  <c r="Y430" i="17"/>
  <c r="Y426" i="17"/>
  <c r="Y422" i="17"/>
  <c r="Y418" i="17"/>
  <c r="Y414" i="17"/>
  <c r="Y663" i="17"/>
  <c r="Y604" i="17"/>
  <c r="Y572" i="17"/>
  <c r="Y564" i="17"/>
  <c r="Y562" i="17"/>
  <c r="Y532" i="17"/>
  <c r="Y530" i="17"/>
  <c r="Y500" i="17"/>
  <c r="Y498" i="17"/>
  <c r="Y468" i="17"/>
  <c r="Y466" i="17"/>
  <c r="Y600" i="17"/>
  <c r="Y536" i="17"/>
  <c r="Y534" i="17"/>
  <c r="Y504" i="17"/>
  <c r="Y596" i="17"/>
  <c r="Y540" i="17"/>
  <c r="Y538" i="17"/>
  <c r="Y508" i="17"/>
  <c r="Y506" i="17"/>
  <c r="Y476" i="17"/>
  <c r="Y474" i="17"/>
  <c r="Y444" i="17"/>
  <c r="Y442" i="17"/>
  <c r="Y434" i="17"/>
  <c r="Y673" i="17"/>
  <c r="Y626" i="17"/>
  <c r="Y588" i="17"/>
  <c r="Y568" i="17"/>
  <c r="Y548" i="17"/>
  <c r="Y546" i="17"/>
  <c r="Y516" i="17"/>
  <c r="Y514" i="17"/>
  <c r="Y484" i="17"/>
  <c r="Y482" i="17"/>
  <c r="Y452" i="17"/>
  <c r="Y450" i="17"/>
  <c r="Y512" i="17"/>
  <c r="Y478" i="17"/>
  <c r="Y472" i="17"/>
  <c r="Y438" i="17"/>
  <c r="Y428" i="17"/>
  <c r="Y420" i="17"/>
  <c r="Y412" i="17"/>
  <c r="Y401" i="17"/>
  <c r="Y399" i="17"/>
  <c r="Y384" i="17"/>
  <c r="Y382" i="17"/>
  <c r="Y369" i="17"/>
  <c r="Y367" i="17"/>
  <c r="Y352" i="17"/>
  <c r="Y350" i="17"/>
  <c r="Y341" i="17"/>
  <c r="Y334" i="17"/>
  <c r="Y544" i="17"/>
  <c r="Y510" i="17"/>
  <c r="Y425" i="17"/>
  <c r="Y417" i="17"/>
  <c r="Y405" i="17"/>
  <c r="Y403" i="17"/>
  <c r="Y388" i="17"/>
  <c r="Y386" i="17"/>
  <c r="Y373" i="17"/>
  <c r="Y371" i="17"/>
  <c r="Y356" i="17"/>
  <c r="Y354" i="17"/>
  <c r="Y348" i="17"/>
  <c r="Y339" i="17"/>
  <c r="Y332" i="17"/>
  <c r="Y542" i="17"/>
  <c r="Y488" i="17"/>
  <c r="Y454" i="17"/>
  <c r="Y448" i="17"/>
  <c r="Y409" i="17"/>
  <c r="Y407" i="17"/>
  <c r="Y392" i="17"/>
  <c r="Y390" i="17"/>
  <c r="Y377" i="17"/>
  <c r="Y375" i="17"/>
  <c r="Y360" i="17"/>
  <c r="Y358" i="17"/>
  <c r="Y346" i="17"/>
  <c r="Y337" i="17"/>
  <c r="Y330" i="17"/>
  <c r="Y470" i="17"/>
  <c r="Y436" i="17"/>
  <c r="Y427" i="17"/>
  <c r="Y419" i="17"/>
  <c r="Y411" i="17"/>
  <c r="Y396" i="17"/>
  <c r="Y394" i="17"/>
  <c r="Y381" i="17"/>
  <c r="Y379" i="17"/>
  <c r="Y364" i="17"/>
  <c r="Y362" i="17"/>
  <c r="Y344" i="17"/>
  <c r="Y335" i="17"/>
  <c r="Y324" i="17"/>
  <c r="Y320" i="17"/>
  <c r="Y316" i="17"/>
  <c r="Y312" i="17"/>
  <c r="Y308" i="17"/>
  <c r="Y304" i="17"/>
  <c r="Y300" i="17"/>
  <c r="Y296" i="17"/>
  <c r="Y292" i="17"/>
  <c r="Y288" i="17"/>
  <c r="Y284" i="17"/>
  <c r="Y280" i="17"/>
  <c r="Y276" i="17"/>
  <c r="Y272" i="17"/>
  <c r="Y268" i="17"/>
  <c r="Y264" i="17"/>
  <c r="Y260" i="17"/>
  <c r="Y256" i="17"/>
  <c r="Y252" i="17"/>
  <c r="Y248" i="17"/>
  <c r="Y244" i="17"/>
  <c r="Y240" i="17"/>
  <c r="Y236" i="17"/>
  <c r="Y232" i="17"/>
  <c r="Y228" i="17"/>
  <c r="Y224" i="17"/>
  <c r="Y220" i="17"/>
  <c r="Y216" i="17"/>
  <c r="Y212" i="17"/>
  <c r="Y208" i="17"/>
  <c r="Y204" i="17"/>
  <c r="Y200" i="17"/>
  <c r="Y196" i="17"/>
  <c r="Y432" i="17"/>
  <c r="Y424" i="17"/>
  <c r="Y416" i="17"/>
  <c r="Y400" i="17"/>
  <c r="Y398" i="17"/>
  <c r="Y385" i="17"/>
  <c r="Y383" i="17"/>
  <c r="Y368" i="17"/>
  <c r="Y366" i="17"/>
  <c r="Y353" i="17"/>
  <c r="Y351" i="17"/>
  <c r="Y349" i="17"/>
  <c r="Y342" i="17"/>
  <c r="Y333" i="17"/>
  <c r="Y328" i="17"/>
  <c r="Y486" i="17"/>
  <c r="Y480" i="17"/>
  <c r="Y446" i="17"/>
  <c r="Y440" i="17"/>
  <c r="Y429" i="17"/>
  <c r="Y421" i="17"/>
  <c r="Y413" i="17"/>
  <c r="Y404" i="17"/>
  <c r="Y402" i="17"/>
  <c r="Y389" i="17"/>
  <c r="Y387" i="17"/>
  <c r="Y372" i="17"/>
  <c r="Y370" i="17"/>
  <c r="Y357" i="17"/>
  <c r="Y355" i="17"/>
  <c r="Y347" i="17"/>
  <c r="Y340" i="17"/>
  <c r="Y592" i="17"/>
  <c r="Y566" i="17"/>
  <c r="Y456" i="17"/>
  <c r="Y431" i="17"/>
  <c r="Y423" i="17"/>
  <c r="Y415" i="17"/>
  <c r="Y410" i="17"/>
  <c r="Y397" i="17"/>
  <c r="Y395" i="17"/>
  <c r="Y380" i="17"/>
  <c r="Y378" i="17"/>
  <c r="Y365" i="17"/>
  <c r="Y363" i="17"/>
  <c r="Y343" i="17"/>
  <c r="Y336" i="17"/>
  <c r="Y326" i="17"/>
  <c r="Y322" i="17"/>
  <c r="Y318" i="17"/>
  <c r="Y314" i="17"/>
  <c r="Y310" i="17"/>
  <c r="Y306" i="17"/>
  <c r="Y302" i="17"/>
  <c r="Y298" i="17"/>
  <c r="Y294" i="17"/>
  <c r="Y290" i="17"/>
  <c r="Y286" i="17"/>
  <c r="Y282" i="17"/>
  <c r="Y278" i="17"/>
  <c r="Y274" i="17"/>
  <c r="Y270" i="17"/>
  <c r="Y266" i="17"/>
  <c r="Y262" i="17"/>
  <c r="Y258" i="17"/>
  <c r="Y254" i="17"/>
  <c r="Y250" i="17"/>
  <c r="Y246" i="17"/>
  <c r="Y242" i="17"/>
  <c r="Y238" i="17"/>
  <c r="Y234" i="17"/>
  <c r="Y230" i="17"/>
  <c r="Y226" i="17"/>
  <c r="Y222" i="17"/>
  <c r="Y218" i="17"/>
  <c r="Y214" i="17"/>
  <c r="Y210" i="17"/>
  <c r="Y206" i="17"/>
  <c r="Y202" i="17"/>
  <c r="Y198" i="17"/>
  <c r="Y194" i="17"/>
  <c r="Y190" i="17"/>
  <c r="Y186" i="17"/>
  <c r="Y182" i="17"/>
  <c r="Y178" i="17"/>
  <c r="Y174" i="17"/>
  <c r="Y170" i="17"/>
  <c r="Y166" i="17"/>
  <c r="Y329" i="17"/>
  <c r="Y321" i="17"/>
  <c r="Y311" i="17"/>
  <c r="Y301" i="17"/>
  <c r="Y299" i="17"/>
  <c r="Y269" i="17"/>
  <c r="Y267" i="17"/>
  <c r="Y237" i="17"/>
  <c r="Y235" i="17"/>
  <c r="Y205" i="17"/>
  <c r="Y203" i="17"/>
  <c r="Y187" i="17"/>
  <c r="Y180" i="17"/>
  <c r="Y171" i="17"/>
  <c r="Y163" i="17"/>
  <c r="Y159" i="17"/>
  <c r="Y155" i="17"/>
  <c r="Y317" i="17"/>
  <c r="Y303" i="17"/>
  <c r="Y273" i="17"/>
  <c r="Y271" i="17"/>
  <c r="Y241" i="17"/>
  <c r="Y239" i="17"/>
  <c r="Y209" i="17"/>
  <c r="Y207" i="17"/>
  <c r="Y185" i="17"/>
  <c r="Y435" i="17"/>
  <c r="Y361" i="17"/>
  <c r="Y345" i="17"/>
  <c r="Y313" i="17"/>
  <c r="Y305" i="17"/>
  <c r="Y277" i="17"/>
  <c r="Y275" i="17"/>
  <c r="Y245" i="17"/>
  <c r="Y243" i="17"/>
  <c r="Y213" i="17"/>
  <c r="Y211" i="17"/>
  <c r="Y192" i="17"/>
  <c r="Y183" i="17"/>
  <c r="Y176" i="17"/>
  <c r="Y167" i="17"/>
  <c r="Y164" i="17"/>
  <c r="Y393" i="17"/>
  <c r="Y376" i="17"/>
  <c r="Y359" i="17"/>
  <c r="Y327" i="17"/>
  <c r="Y281" i="17"/>
  <c r="Y279" i="17"/>
  <c r="Y249" i="17"/>
  <c r="Y247" i="17"/>
  <c r="Y217" i="17"/>
  <c r="Y215" i="17"/>
  <c r="Y181" i="17"/>
  <c r="Y408" i="17"/>
  <c r="Y391" i="17"/>
  <c r="Y374" i="17"/>
  <c r="Y323" i="17"/>
  <c r="Y307" i="17"/>
  <c r="Y285" i="17"/>
  <c r="Y283" i="17"/>
  <c r="Y253" i="17"/>
  <c r="Y251" i="17"/>
  <c r="Y221" i="17"/>
  <c r="Y219" i="17"/>
  <c r="Y188" i="17"/>
  <c r="Y179" i="17"/>
  <c r="Y172" i="17"/>
  <c r="Y165" i="17"/>
  <c r="Y161" i="17"/>
  <c r="Y157" i="17"/>
  <c r="Y153" i="17"/>
  <c r="Y406" i="17"/>
  <c r="Y331" i="17"/>
  <c r="Y319" i="17"/>
  <c r="Y289" i="17"/>
  <c r="Y287" i="17"/>
  <c r="Y257" i="17"/>
  <c r="Y255" i="17"/>
  <c r="Y225" i="17"/>
  <c r="Y223" i="17"/>
  <c r="Y193" i="17"/>
  <c r="Y177" i="17"/>
  <c r="Y325" i="17"/>
  <c r="Y297" i="17"/>
  <c r="Y295" i="17"/>
  <c r="Y265" i="17"/>
  <c r="Y263" i="17"/>
  <c r="Y233" i="17"/>
  <c r="Y231" i="17"/>
  <c r="Y201" i="17"/>
  <c r="Y199" i="17"/>
  <c r="Y189" i="17"/>
  <c r="Y173" i="17"/>
  <c r="Y502" i="17"/>
  <c r="Y151" i="17"/>
  <c r="Y149" i="17"/>
  <c r="Y134" i="17"/>
  <c r="Y132" i="17"/>
  <c r="Y119" i="17"/>
  <c r="Y117" i="17"/>
  <c r="Y102" i="17"/>
  <c r="Y100" i="17"/>
  <c r="Y87" i="17"/>
  <c r="Y85" i="17"/>
  <c r="Y70" i="17"/>
  <c r="Y68" i="17"/>
  <c r="Y53" i="17"/>
  <c r="Y42" i="17"/>
  <c r="Y8" i="17"/>
  <c r="Y175" i="17"/>
  <c r="Y158" i="17"/>
  <c r="Y126" i="17"/>
  <c r="Y109" i="17"/>
  <c r="Y46" i="17"/>
  <c r="Y184" i="17"/>
  <c r="Y138" i="17"/>
  <c r="Y136" i="17"/>
  <c r="Y123" i="17"/>
  <c r="Y121" i="17"/>
  <c r="Y106" i="17"/>
  <c r="Y104" i="17"/>
  <c r="Y91" i="17"/>
  <c r="Y89" i="17"/>
  <c r="Y74" i="17"/>
  <c r="Y72" i="17"/>
  <c r="Y59" i="17"/>
  <c r="Y57" i="17"/>
  <c r="Y47" i="17"/>
  <c r="Y40" i="17"/>
  <c r="Y31" i="17"/>
  <c r="Y28" i="17"/>
  <c r="Y24" i="17"/>
  <c r="Y20" i="17"/>
  <c r="Y12" i="17"/>
  <c r="Y197" i="17"/>
  <c r="Y160" i="17"/>
  <c r="Y142" i="17"/>
  <c r="Y140" i="17"/>
  <c r="Y127" i="17"/>
  <c r="Y125" i="17"/>
  <c r="Y110" i="17"/>
  <c r="Y108" i="17"/>
  <c r="Y95" i="17"/>
  <c r="Y93" i="17"/>
  <c r="Y78" i="17"/>
  <c r="Y76" i="17"/>
  <c r="Y63" i="17"/>
  <c r="Y61" i="17"/>
  <c r="Y45" i="17"/>
  <c r="Y38" i="17"/>
  <c r="Y18" i="17"/>
  <c r="Y6" i="17"/>
  <c r="Y141" i="17"/>
  <c r="Y111" i="17"/>
  <c r="Y229" i="17"/>
  <c r="Y195" i="17"/>
  <c r="Y156" i="17"/>
  <c r="Y146" i="17"/>
  <c r="Y144" i="17"/>
  <c r="Y131" i="17"/>
  <c r="Y129" i="17"/>
  <c r="Y114" i="17"/>
  <c r="Y112" i="17"/>
  <c r="Y99" i="17"/>
  <c r="Y97" i="17"/>
  <c r="Y82" i="17"/>
  <c r="Y80" i="17"/>
  <c r="Y67" i="17"/>
  <c r="Y65" i="17"/>
  <c r="Y43" i="17"/>
  <c r="Y36" i="17"/>
  <c r="Y29" i="17"/>
  <c r="Y25" i="17"/>
  <c r="Y21" i="17"/>
  <c r="Y17" i="17"/>
  <c r="Y13" i="17"/>
  <c r="Y9" i="17"/>
  <c r="Y4" i="17"/>
  <c r="Y90" i="17"/>
  <c r="Y73" i="17"/>
  <c r="Y56" i="17"/>
  <c r="Y48" i="17"/>
  <c r="Y32" i="17"/>
  <c r="Y14" i="17"/>
  <c r="Y309" i="17"/>
  <c r="Y94" i="17"/>
  <c r="Y315" i="17"/>
  <c r="Y261" i="17"/>
  <c r="Y227" i="17"/>
  <c r="Y169" i="17"/>
  <c r="Y150" i="17"/>
  <c r="Y148" i="17"/>
  <c r="Y135" i="17"/>
  <c r="Y133" i="17"/>
  <c r="Y118" i="17"/>
  <c r="Y116" i="17"/>
  <c r="Y103" i="17"/>
  <c r="Y101" i="17"/>
  <c r="Y86" i="17"/>
  <c r="Y84" i="17"/>
  <c r="Y71" i="17"/>
  <c r="Y69" i="17"/>
  <c r="Y54" i="17"/>
  <c r="Y52" i="17"/>
  <c r="Y50" i="17"/>
  <c r="Y41" i="17"/>
  <c r="Y34" i="17"/>
  <c r="Y26" i="17"/>
  <c r="Y10" i="17"/>
  <c r="Y291" i="17"/>
  <c r="Y79" i="17"/>
  <c r="Y62" i="17"/>
  <c r="Y293" i="17"/>
  <c r="Y259" i="17"/>
  <c r="Y191" i="17"/>
  <c r="Y168" i="17"/>
  <c r="Y162" i="17"/>
  <c r="Y152" i="17"/>
  <c r="Y139" i="17"/>
  <c r="Y137" i="17"/>
  <c r="Y122" i="17"/>
  <c r="Y120" i="17"/>
  <c r="Y107" i="17"/>
  <c r="Y105" i="17"/>
  <c r="Y88" i="17"/>
  <c r="Y75" i="17"/>
  <c r="Y58" i="17"/>
  <c r="Y39" i="17"/>
  <c r="Y22" i="17"/>
  <c r="Y143" i="17"/>
  <c r="Y338" i="17"/>
  <c r="Y154" i="17"/>
  <c r="Y147" i="17"/>
  <c r="Y145" i="17"/>
  <c r="Y130" i="17"/>
  <c r="Y128" i="17"/>
  <c r="Y115" i="17"/>
  <c r="Y113" i="17"/>
  <c r="Y98" i="17"/>
  <c r="Y96" i="17"/>
  <c r="Y83" i="17"/>
  <c r="Y81" i="17"/>
  <c r="Y66" i="17"/>
  <c r="Y64" i="17"/>
  <c r="Y51" i="17"/>
  <c r="Y44" i="17"/>
  <c r="Y35" i="17"/>
  <c r="Y27" i="17"/>
  <c r="Y23" i="17"/>
  <c r="Y19" i="17"/>
  <c r="Y15" i="17"/>
  <c r="Y11" i="17"/>
  <c r="Y7" i="17"/>
  <c r="Y55" i="17"/>
  <c r="Y49" i="17"/>
  <c r="Y33" i="17"/>
  <c r="Y16" i="17"/>
  <c r="Y124" i="17"/>
  <c r="Y92" i="17"/>
  <c r="Y77" i="17"/>
  <c r="Y60" i="17"/>
  <c r="Y37" i="17"/>
  <c r="Y30" i="17"/>
  <c r="Z1048" i="17"/>
  <c r="Z1044" i="17"/>
  <c r="Z1040" i="17"/>
  <c r="Z1036" i="17"/>
  <c r="Z1032" i="17"/>
  <c r="Z1028" i="17"/>
  <c r="Z1024" i="17"/>
  <c r="Z1020" i="17"/>
  <c r="Z1016" i="17"/>
  <c r="Z1012" i="17"/>
  <c r="Z1008" i="17"/>
  <c r="Z1004" i="17"/>
  <c r="Z1000" i="17"/>
  <c r="Z996" i="17"/>
  <c r="Z992" i="17"/>
  <c r="Z988" i="17"/>
  <c r="Z984" i="17"/>
  <c r="Z980" i="17"/>
  <c r="Z976" i="17"/>
  <c r="Z972" i="17"/>
  <c r="Z968" i="17"/>
  <c r="Z964" i="17"/>
  <c r="Z960" i="17"/>
  <c r="Z956" i="17"/>
  <c r="F5" i="17"/>
  <c r="Z1045" i="17"/>
  <c r="Z1041" i="17"/>
  <c r="Z1037" i="17"/>
  <c r="Z1033" i="17"/>
  <c r="Z1029" i="17"/>
  <c r="Z1025" i="17"/>
  <c r="Z1021" i="17"/>
  <c r="Z1017" i="17"/>
  <c r="Z1013" i="17"/>
  <c r="Z1009" i="17"/>
  <c r="Z1005" i="17"/>
  <c r="Z1001" i="17"/>
  <c r="Z997" i="17"/>
  <c r="Z993" i="17"/>
  <c r="Z989" i="17"/>
  <c r="Z985" i="17"/>
  <c r="Z981" i="17"/>
  <c r="Z977" i="17"/>
  <c r="Z973" i="17"/>
  <c r="Z969" i="17"/>
  <c r="Z965" i="17"/>
  <c r="Z961" i="17"/>
  <c r="Z957" i="17"/>
  <c r="Z953" i="17"/>
  <c r="Z949" i="17"/>
  <c r="Z945" i="17"/>
  <c r="Z941" i="17"/>
  <c r="Z937" i="17"/>
  <c r="Z1047" i="17"/>
  <c r="Z1043" i="17"/>
  <c r="Z1039" i="17"/>
  <c r="Z1035" i="17"/>
  <c r="Z1031" i="17"/>
  <c r="Z1027" i="17"/>
  <c r="Z1023" i="17"/>
  <c r="Z1019" i="17"/>
  <c r="Z1015" i="17"/>
  <c r="Z995" i="17"/>
  <c r="Z982" i="17"/>
  <c r="Z963" i="17"/>
  <c r="Z942" i="17"/>
  <c r="Z939" i="17"/>
  <c r="Z936" i="17"/>
  <c r="Z932" i="17"/>
  <c r="Z928" i="17"/>
  <c r="Z924" i="17"/>
  <c r="Z920" i="17"/>
  <c r="Z916" i="17"/>
  <c r="Z912" i="17"/>
  <c r="Z908" i="17"/>
  <c r="Z904" i="17"/>
  <c r="Z900" i="17"/>
  <c r="Z896" i="17"/>
  <c r="Z999" i="17"/>
  <c r="Z986" i="17"/>
  <c r="Z967" i="17"/>
  <c r="Z954" i="17"/>
  <c r="Z951" i="17"/>
  <c r="Z948" i="17"/>
  <c r="Z1011" i="17"/>
  <c r="Z998" i="17"/>
  <c r="Z979" i="17"/>
  <c r="Z966" i="17"/>
  <c r="Z952" i="17"/>
  <c r="Z934" i="17"/>
  <c r="Z930" i="17"/>
  <c r="Z926" i="17"/>
  <c r="Z922" i="17"/>
  <c r="Z918" i="17"/>
  <c r="Z914" i="17"/>
  <c r="Z910" i="17"/>
  <c r="Z906" i="17"/>
  <c r="Z902" i="17"/>
  <c r="Z1046" i="17"/>
  <c r="Z1042" i="17"/>
  <c r="Z978" i="17"/>
  <c r="Z971" i="17"/>
  <c r="Z909" i="17"/>
  <c r="Z907" i="17"/>
  <c r="Z891" i="17"/>
  <c r="Z887" i="17"/>
  <c r="Z883" i="17"/>
  <c r="Z879" i="17"/>
  <c r="Z875" i="17"/>
  <c r="Z871" i="17"/>
  <c r="Z867" i="17"/>
  <c r="Z863" i="17"/>
  <c r="Z859" i="17"/>
  <c r="Z855" i="17"/>
  <c r="Z851" i="17"/>
  <c r="Z847" i="17"/>
  <c r="Z843" i="17"/>
  <c r="Z974" i="17"/>
  <c r="Z944" i="17"/>
  <c r="Z913" i="17"/>
  <c r="Z911" i="17"/>
  <c r="Z1014" i="17"/>
  <c r="Z1007" i="17"/>
  <c r="Z983" i="17"/>
  <c r="Z943" i="17"/>
  <c r="Z938" i="17"/>
  <c r="Z925" i="17"/>
  <c r="Z923" i="17"/>
  <c r="Z893" i="17"/>
  <c r="Z889" i="17"/>
  <c r="Z885" i="17"/>
  <c r="Z881" i="17"/>
  <c r="Z877" i="17"/>
  <c r="Z873" i="17"/>
  <c r="Z869" i="17"/>
  <c r="Z865" i="17"/>
  <c r="Z861" i="17"/>
  <c r="Z857" i="17"/>
  <c r="Z853" i="17"/>
  <c r="Z1018" i="17"/>
  <c r="Z1006" i="17"/>
  <c r="Z962" i="17"/>
  <c r="Z933" i="17"/>
  <c r="Z899" i="17"/>
  <c r="Z894" i="17"/>
  <c r="Z868" i="17"/>
  <c r="Z866" i="17"/>
  <c r="Z848" i="17"/>
  <c r="Z845" i="17"/>
  <c r="Z842" i="17"/>
  <c r="Z839" i="17"/>
  <c r="Z835" i="17"/>
  <c r="Z831" i="17"/>
  <c r="Z827" i="17"/>
  <c r="Z823" i="17"/>
  <c r="Z819" i="17"/>
  <c r="Z815" i="17"/>
  <c r="Z811" i="17"/>
  <c r="Z807" i="17"/>
  <c r="Z803" i="17"/>
  <c r="Z799" i="17"/>
  <c r="Z1038" i="17"/>
  <c r="Z994" i="17"/>
  <c r="Z940" i="17"/>
  <c r="Z929" i="17"/>
  <c r="Z919" i="17"/>
  <c r="Z872" i="17"/>
  <c r="Z870" i="17"/>
  <c r="Z1003" i="17"/>
  <c r="Z987" i="17"/>
  <c r="Z970" i="17"/>
  <c r="Z950" i="17"/>
  <c r="Z946" i="17"/>
  <c r="Z935" i="17"/>
  <c r="Z921" i="17"/>
  <c r="Z895" i="17"/>
  <c r="Z884" i="17"/>
  <c r="Z882" i="17"/>
  <c r="Z852" i="17"/>
  <c r="Z837" i="17"/>
  <c r="Z833" i="17"/>
  <c r="Z829" i="17"/>
  <c r="Z825" i="17"/>
  <c r="Z821" i="17"/>
  <c r="Z817" i="17"/>
  <c r="Z813" i="17"/>
  <c r="Z809" i="17"/>
  <c r="Z1034" i="17"/>
  <c r="Z1022" i="17"/>
  <c r="Z959" i="17"/>
  <c r="Z1010" i="17"/>
  <c r="Z1002" i="17"/>
  <c r="Z958" i="17"/>
  <c r="Z1030" i="17"/>
  <c r="Z975" i="17"/>
  <c r="Z915" i="17"/>
  <c r="Z874" i="17"/>
  <c r="Z864" i="17"/>
  <c r="Z832" i="17"/>
  <c r="Z830" i="17"/>
  <c r="Z805" i="17"/>
  <c r="Z802" i="17"/>
  <c r="Z991" i="17"/>
  <c r="Z931" i="17"/>
  <c r="Z898" i="17"/>
  <c r="Z860" i="17"/>
  <c r="Z836" i="17"/>
  <c r="Z834" i="17"/>
  <c r="Z793" i="17"/>
  <c r="Z789" i="17"/>
  <c r="Z785" i="17"/>
  <c r="Z781" i="17"/>
  <c r="Z777" i="17"/>
  <c r="Z773" i="17"/>
  <c r="Z769" i="17"/>
  <c r="Z765" i="17"/>
  <c r="Z761" i="17"/>
  <c r="Z757" i="17"/>
  <c r="Z753" i="17"/>
  <c r="Z749" i="17"/>
  <c r="Z745" i="17"/>
  <c r="Z741" i="17"/>
  <c r="Z737" i="17"/>
  <c r="Z733" i="17"/>
  <c r="Z729" i="17"/>
  <c r="Z725" i="17"/>
  <c r="Z721" i="17"/>
  <c r="Z717" i="17"/>
  <c r="Z713" i="17"/>
  <c r="Z709" i="17"/>
  <c r="Z705" i="17"/>
  <c r="Z701" i="17"/>
  <c r="Z697" i="17"/>
  <c r="Z693" i="17"/>
  <c r="Z689" i="17"/>
  <c r="Z685" i="17"/>
  <c r="Z681" i="17"/>
  <c r="Z677" i="17"/>
  <c r="Z673" i="17"/>
  <c r="Z669" i="17"/>
  <c r="Z665" i="17"/>
  <c r="Z661" i="17"/>
  <c r="Z657" i="17"/>
  <c r="Z653" i="17"/>
  <c r="Z990" i="17"/>
  <c r="Z1026" i="17"/>
  <c r="Z947" i="17"/>
  <c r="Z897" i="17"/>
  <c r="Z886" i="17"/>
  <c r="Z816" i="17"/>
  <c r="Z814" i="17"/>
  <c r="Z955" i="17"/>
  <c r="Z927" i="17"/>
  <c r="Z917" i="17"/>
  <c r="Z888" i="17"/>
  <c r="Z850" i="17"/>
  <c r="Z818" i="17"/>
  <c r="Z800" i="17"/>
  <c r="Z791" i="17"/>
  <c r="Z774" i="17"/>
  <c r="Z772" i="17"/>
  <c r="Z759" i="17"/>
  <c r="Z742" i="17"/>
  <c r="Z740" i="17"/>
  <c r="Z727" i="17"/>
  <c r="Z710" i="17"/>
  <c r="Z708" i="17"/>
  <c r="Z695" i="17"/>
  <c r="Z678" i="17"/>
  <c r="Z676" i="17"/>
  <c r="Z663" i="17"/>
  <c r="Z892" i="17"/>
  <c r="Z854" i="17"/>
  <c r="Z849" i="17"/>
  <c r="Z824" i="17"/>
  <c r="Z797" i="17"/>
  <c r="Z782" i="17"/>
  <c r="Z780" i="17"/>
  <c r="Z767" i="17"/>
  <c r="Z750" i="17"/>
  <c r="Z748" i="17"/>
  <c r="Z735" i="17"/>
  <c r="Z718" i="17"/>
  <c r="Z716" i="17"/>
  <c r="Z703" i="17"/>
  <c r="Z686" i="17"/>
  <c r="Z905" i="17"/>
  <c r="Z858" i="17"/>
  <c r="Z844" i="17"/>
  <c r="Z840" i="17"/>
  <c r="Z790" i="17"/>
  <c r="Z788" i="17"/>
  <c r="Z775" i="17"/>
  <c r="Z758" i="17"/>
  <c r="Z756" i="17"/>
  <c r="Z743" i="17"/>
  <c r="Z726" i="17"/>
  <c r="Z724" i="17"/>
  <c r="Z711" i="17"/>
  <c r="Z694" i="17"/>
  <c r="Z692" i="17"/>
  <c r="Z846" i="17"/>
  <c r="Z812" i="17"/>
  <c r="Z795" i="17"/>
  <c r="Z778" i="17"/>
  <c r="Z771" i="17"/>
  <c r="Z768" i="17"/>
  <c r="Z754" i="17"/>
  <c r="Z747" i="17"/>
  <c r="Z744" i="17"/>
  <c r="Z730" i="17"/>
  <c r="Z720" i="17"/>
  <c r="Z696" i="17"/>
  <c r="Z683" i="17"/>
  <c r="Z666" i="17"/>
  <c r="Z654" i="17"/>
  <c r="Z652" i="17"/>
  <c r="Z646" i="17"/>
  <c r="Z642" i="17"/>
  <c r="Z638" i="17"/>
  <c r="Z634" i="17"/>
  <c r="Z630" i="17"/>
  <c r="Z878" i="17"/>
  <c r="Z828" i="17"/>
  <c r="Z806" i="17"/>
  <c r="Z876" i="17"/>
  <c r="Z838" i="17"/>
  <c r="Z822" i="17"/>
  <c r="Z798" i="17"/>
  <c r="Z794" i="17"/>
  <c r="Z810" i="17"/>
  <c r="Z801" i="17"/>
  <c r="Z787" i="17"/>
  <c r="Z770" i="17"/>
  <c r="Z763" i="17"/>
  <c r="Z746" i="17"/>
  <c r="Z739" i="17"/>
  <c r="Z736" i="17"/>
  <c r="Z722" i="17"/>
  <c r="Z715" i="17"/>
  <c r="Z712" i="17"/>
  <c r="Z698" i="17"/>
  <c r="Z688" i="17"/>
  <c r="Z682" i="17"/>
  <c r="Z670" i="17"/>
  <c r="Z903" i="17"/>
  <c r="Z856" i="17"/>
  <c r="Z826" i="17"/>
  <c r="Z820" i="17"/>
  <c r="Z783" i="17"/>
  <c r="Z766" i="17"/>
  <c r="Z732" i="17"/>
  <c r="Z691" i="17"/>
  <c r="Z667" i="17"/>
  <c r="Z660" i="17"/>
  <c r="Z655" i="17"/>
  <c r="Z651" i="17"/>
  <c r="Z648" i="17"/>
  <c r="Z644" i="17"/>
  <c r="Z640" i="17"/>
  <c r="Z636" i="17"/>
  <c r="Z632" i="17"/>
  <c r="Z628" i="17"/>
  <c r="Z901" i="17"/>
  <c r="Z890" i="17"/>
  <c r="Z804" i="17"/>
  <c r="Z786" i="17"/>
  <c r="Z779" i="17"/>
  <c r="Z776" i="17"/>
  <c r="Z762" i="17"/>
  <c r="Z752" i="17"/>
  <c r="Z728" i="17"/>
  <c r="Z687" i="17"/>
  <c r="Z684" i="17"/>
  <c r="Z679" i="17"/>
  <c r="Z672" i="17"/>
  <c r="Z662" i="17"/>
  <c r="Z862" i="17"/>
  <c r="Z792" i="17"/>
  <c r="Z751" i="17"/>
  <c r="Z734" i="17"/>
  <c r="Z700" i="17"/>
  <c r="Z671" i="17"/>
  <c r="Z664" i="17"/>
  <c r="Z659" i="17"/>
  <c r="Z760" i="17"/>
  <c r="Z723" i="17"/>
  <c r="Z714" i="17"/>
  <c r="Z808" i="17"/>
  <c r="Z731" i="17"/>
  <c r="Z704" i="17"/>
  <c r="Z645" i="17"/>
  <c r="Z631" i="17"/>
  <c r="Z625" i="17"/>
  <c r="Z641" i="17"/>
  <c r="Z623" i="17"/>
  <c r="Z615" i="17"/>
  <c r="Z611" i="17"/>
  <c r="Z607" i="17"/>
  <c r="Z603" i="17"/>
  <c r="Z599" i="17"/>
  <c r="Z595" i="17"/>
  <c r="Z591" i="17"/>
  <c r="Z587" i="17"/>
  <c r="Z583" i="17"/>
  <c r="Z579" i="17"/>
  <c r="Z575" i="17"/>
  <c r="Z571" i="17"/>
  <c r="Z567" i="17"/>
  <c r="Z841" i="17"/>
  <c r="Z784" i="17"/>
  <c r="Z738" i="17"/>
  <c r="Z702" i="17"/>
  <c r="Z658" i="17"/>
  <c r="Z637" i="17"/>
  <c r="Z627" i="17"/>
  <c r="Z621" i="17"/>
  <c r="Z796" i="17"/>
  <c r="Z764" i="17"/>
  <c r="Z755" i="17"/>
  <c r="Z719" i="17"/>
  <c r="Z633" i="17"/>
  <c r="Z619" i="17"/>
  <c r="Z616" i="17"/>
  <c r="Z612" i="17"/>
  <c r="Z608" i="17"/>
  <c r="Z604" i="17"/>
  <c r="Z600" i="17"/>
  <c r="Z596" i="17"/>
  <c r="Z592" i="17"/>
  <c r="Z588" i="17"/>
  <c r="Z584" i="17"/>
  <c r="Z580" i="17"/>
  <c r="Z576" i="17"/>
  <c r="Z572" i="17"/>
  <c r="Z568" i="17"/>
  <c r="Z564" i="17"/>
  <c r="Z560" i="17"/>
  <c r="Z556" i="17"/>
  <c r="Z552" i="17"/>
  <c r="Z548" i="17"/>
  <c r="Z544" i="17"/>
  <c r="Z540" i="17"/>
  <c r="Z536" i="17"/>
  <c r="Z532" i="17"/>
  <c r="Z528" i="17"/>
  <c r="Z524" i="17"/>
  <c r="Z520" i="17"/>
  <c r="Z516" i="17"/>
  <c r="Z512" i="17"/>
  <c r="Z508" i="17"/>
  <c r="Z504" i="17"/>
  <c r="Z500" i="17"/>
  <c r="Z496" i="17"/>
  <c r="Z492" i="17"/>
  <c r="Z488" i="17"/>
  <c r="Z484" i="17"/>
  <c r="Z480" i="17"/>
  <c r="Z476" i="17"/>
  <c r="Z472" i="17"/>
  <c r="Z468" i="17"/>
  <c r="Z464" i="17"/>
  <c r="Z460" i="17"/>
  <c r="Z456" i="17"/>
  <c r="Z452" i="17"/>
  <c r="Z448" i="17"/>
  <c r="Z444" i="17"/>
  <c r="Z440" i="17"/>
  <c r="Z436" i="17"/>
  <c r="Z432" i="17"/>
  <c r="Z706" i="17"/>
  <c r="Z674" i="17"/>
  <c r="Z668" i="17"/>
  <c r="Z639" i="17"/>
  <c r="Z620" i="17"/>
  <c r="Z880" i="17"/>
  <c r="Z643" i="17"/>
  <c r="Z609" i="17"/>
  <c r="Z602" i="17"/>
  <c r="Z577" i="17"/>
  <c r="Z565" i="17"/>
  <c r="Z554" i="17"/>
  <c r="Z537" i="17"/>
  <c r="Z535" i="17"/>
  <c r="Z522" i="17"/>
  <c r="Z505" i="17"/>
  <c r="Z624" i="17"/>
  <c r="Z605" i="17"/>
  <c r="Z598" i="17"/>
  <c r="Z573" i="17"/>
  <c r="Z570" i="17"/>
  <c r="Z558" i="17"/>
  <c r="Z541" i="17"/>
  <c r="Z539" i="17"/>
  <c r="Z526" i="17"/>
  <c r="Z509" i="17"/>
  <c r="Z507" i="17"/>
  <c r="Z494" i="17"/>
  <c r="Z477" i="17"/>
  <c r="Z475" i="17"/>
  <c r="Z462" i="17"/>
  <c r="Z445" i="17"/>
  <c r="Z443" i="17"/>
  <c r="Z650" i="17"/>
  <c r="Z601" i="17"/>
  <c r="Z594" i="17"/>
  <c r="Z562" i="17"/>
  <c r="Z545" i="17"/>
  <c r="Z543" i="17"/>
  <c r="Z530" i="17"/>
  <c r="Z513" i="17"/>
  <c r="Z511" i="17"/>
  <c r="Z498" i="17"/>
  <c r="Z481" i="17"/>
  <c r="Z479" i="17"/>
  <c r="Z466" i="17"/>
  <c r="Z449" i="17"/>
  <c r="Z447" i="17"/>
  <c r="Z707" i="17"/>
  <c r="Z649" i="17"/>
  <c r="Z629" i="17"/>
  <c r="Z597" i="17"/>
  <c r="Z590" i="17"/>
  <c r="Z549" i="17"/>
  <c r="Z547" i="17"/>
  <c r="Z534" i="17"/>
  <c r="Z517" i="17"/>
  <c r="Z515" i="17"/>
  <c r="Z502" i="17"/>
  <c r="Z485" i="17"/>
  <c r="Z483" i="17"/>
  <c r="Z470" i="17"/>
  <c r="Z453" i="17"/>
  <c r="Z451" i="17"/>
  <c r="Z438" i="17"/>
  <c r="Z431" i="17"/>
  <c r="Z427" i="17"/>
  <c r="Z423" i="17"/>
  <c r="Z419" i="17"/>
  <c r="Z415" i="17"/>
  <c r="Z411" i="17"/>
  <c r="Z407" i="17"/>
  <c r="Z403" i="17"/>
  <c r="Z399" i="17"/>
  <c r="Z395" i="17"/>
  <c r="Z391" i="17"/>
  <c r="Z387" i="17"/>
  <c r="Z383" i="17"/>
  <c r="Z379" i="17"/>
  <c r="Z375" i="17"/>
  <c r="Z371" i="17"/>
  <c r="Z367" i="17"/>
  <c r="Z363" i="17"/>
  <c r="Z359" i="17"/>
  <c r="Z355" i="17"/>
  <c r="Z351" i="17"/>
  <c r="Z347" i="17"/>
  <c r="Z343" i="17"/>
  <c r="Z339" i="17"/>
  <c r="Z335" i="17"/>
  <c r="Z331" i="17"/>
  <c r="Z699" i="17"/>
  <c r="Z680" i="17"/>
  <c r="Z647" i="17"/>
  <c r="Z618" i="17"/>
  <c r="Z593" i="17"/>
  <c r="Z586" i="17"/>
  <c r="Z569" i="17"/>
  <c r="Z553" i="17"/>
  <c r="Z551" i="17"/>
  <c r="Z538" i="17"/>
  <c r="Z521" i="17"/>
  <c r="Z519" i="17"/>
  <c r="Z506" i="17"/>
  <c r="Z622" i="17"/>
  <c r="Z614" i="17"/>
  <c r="Z589" i="17"/>
  <c r="Z582" i="17"/>
  <c r="Z566" i="17"/>
  <c r="Z557" i="17"/>
  <c r="Z555" i="17"/>
  <c r="Z542" i="17"/>
  <c r="Z525" i="17"/>
  <c r="Z523" i="17"/>
  <c r="Z510" i="17"/>
  <c r="Z493" i="17"/>
  <c r="Z491" i="17"/>
  <c r="Z478" i="17"/>
  <c r="Z461" i="17"/>
  <c r="Z459" i="17"/>
  <c r="Z446" i="17"/>
  <c r="Z428" i="17"/>
  <c r="Z424" i="17"/>
  <c r="Z420" i="17"/>
  <c r="Z416" i="17"/>
  <c r="Z412" i="17"/>
  <c r="Z408" i="17"/>
  <c r="Z404" i="17"/>
  <c r="Z400" i="17"/>
  <c r="Z396" i="17"/>
  <c r="Z392" i="17"/>
  <c r="Z388" i="17"/>
  <c r="Z384" i="17"/>
  <c r="Z380" i="17"/>
  <c r="Z376" i="17"/>
  <c r="Z372" i="17"/>
  <c r="Z368" i="17"/>
  <c r="Z364" i="17"/>
  <c r="Z360" i="17"/>
  <c r="Z356" i="17"/>
  <c r="Z352" i="17"/>
  <c r="Z690" i="17"/>
  <c r="Z635" i="17"/>
  <c r="Z613" i="17"/>
  <c r="Z606" i="17"/>
  <c r="Z581" i="17"/>
  <c r="Z574" i="17"/>
  <c r="Z563" i="17"/>
  <c r="Z550" i="17"/>
  <c r="Z533" i="17"/>
  <c r="Z531" i="17"/>
  <c r="Z518" i="17"/>
  <c r="Z501" i="17"/>
  <c r="Z499" i="17"/>
  <c r="Z486" i="17"/>
  <c r="Z469" i="17"/>
  <c r="Z467" i="17"/>
  <c r="Z454" i="17"/>
  <c r="Z437" i="17"/>
  <c r="Z429" i="17"/>
  <c r="Z425" i="17"/>
  <c r="Z421" i="17"/>
  <c r="Z417" i="17"/>
  <c r="Z413" i="17"/>
  <c r="Z409" i="17"/>
  <c r="Z405" i="17"/>
  <c r="Z401" i="17"/>
  <c r="Z397" i="17"/>
  <c r="Z393" i="17"/>
  <c r="Z389" i="17"/>
  <c r="Z385" i="17"/>
  <c r="Z381" i="17"/>
  <c r="Z377" i="17"/>
  <c r="Z373" i="17"/>
  <c r="Z369" i="17"/>
  <c r="Z365" i="17"/>
  <c r="Z361" i="17"/>
  <c r="Z357" i="17"/>
  <c r="Z353" i="17"/>
  <c r="Z349" i="17"/>
  <c r="Z345" i="17"/>
  <c r="Z341" i="17"/>
  <c r="Z337" i="17"/>
  <c r="Z333" i="17"/>
  <c r="Z329" i="17"/>
  <c r="Z617" i="17"/>
  <c r="Z546" i="17"/>
  <c r="Z529" i="17"/>
  <c r="Z495" i="17"/>
  <c r="Z489" i="17"/>
  <c r="Z455" i="17"/>
  <c r="Z386" i="17"/>
  <c r="Z354" i="17"/>
  <c r="Z348" i="17"/>
  <c r="Z332" i="17"/>
  <c r="Z327" i="17"/>
  <c r="Z323" i="17"/>
  <c r="Z319" i="17"/>
  <c r="Z315" i="17"/>
  <c r="Z311" i="17"/>
  <c r="Z307" i="17"/>
  <c r="Z585" i="17"/>
  <c r="Z561" i="17"/>
  <c r="Z527" i="17"/>
  <c r="Z390" i="17"/>
  <c r="Z358" i="17"/>
  <c r="Z346" i="17"/>
  <c r="Z330" i="17"/>
  <c r="Z675" i="17"/>
  <c r="Z610" i="17"/>
  <c r="Z559" i="17"/>
  <c r="Z482" i="17"/>
  <c r="Z471" i="17"/>
  <c r="Z465" i="17"/>
  <c r="Z442" i="17"/>
  <c r="Z433" i="17"/>
  <c r="Z430" i="17"/>
  <c r="Z422" i="17"/>
  <c r="Z414" i="17"/>
  <c r="Z394" i="17"/>
  <c r="Z362" i="17"/>
  <c r="Z344" i="17"/>
  <c r="Z324" i="17"/>
  <c r="Z320" i="17"/>
  <c r="Z316" i="17"/>
  <c r="Z656" i="17"/>
  <c r="Z578" i="17"/>
  <c r="Z487" i="17"/>
  <c r="Z398" i="17"/>
  <c r="Z366" i="17"/>
  <c r="Z342" i="17"/>
  <c r="Z328" i="17"/>
  <c r="Z458" i="17"/>
  <c r="Z441" i="17"/>
  <c r="Z402" i="17"/>
  <c r="Z370" i="17"/>
  <c r="Z340" i="17"/>
  <c r="Z325" i="17"/>
  <c r="Z321" i="17"/>
  <c r="Z317" i="17"/>
  <c r="Z313" i="17"/>
  <c r="Z309" i="17"/>
  <c r="Z305" i="17"/>
  <c r="Z301" i="17"/>
  <c r="Z297" i="17"/>
  <c r="Z293" i="17"/>
  <c r="Z289" i="17"/>
  <c r="Z285" i="17"/>
  <c r="Z281" i="17"/>
  <c r="Z277" i="17"/>
  <c r="Z273" i="17"/>
  <c r="Z269" i="17"/>
  <c r="Z265" i="17"/>
  <c r="Z261" i="17"/>
  <c r="Z257" i="17"/>
  <c r="Z253" i="17"/>
  <c r="Z249" i="17"/>
  <c r="Z245" i="17"/>
  <c r="Z241" i="17"/>
  <c r="Z237" i="17"/>
  <c r="Z233" i="17"/>
  <c r="Z229" i="17"/>
  <c r="Z225" i="17"/>
  <c r="Z221" i="17"/>
  <c r="Z217" i="17"/>
  <c r="Z213" i="17"/>
  <c r="Z209" i="17"/>
  <c r="Z205" i="17"/>
  <c r="Z201" i="17"/>
  <c r="Z197" i="17"/>
  <c r="Z193" i="17"/>
  <c r="Z189" i="17"/>
  <c r="Z185" i="17"/>
  <c r="Z181" i="17"/>
  <c r="Z177" i="17"/>
  <c r="Z173" i="17"/>
  <c r="Z169" i="17"/>
  <c r="Z503" i="17"/>
  <c r="Z497" i="17"/>
  <c r="Z474" i="17"/>
  <c r="Z463" i="17"/>
  <c r="Z457" i="17"/>
  <c r="Z435" i="17"/>
  <c r="Z406" i="17"/>
  <c r="Z374" i="17"/>
  <c r="Z338" i="17"/>
  <c r="Z514" i="17"/>
  <c r="Z490" i="17"/>
  <c r="Z473" i="17"/>
  <c r="Z450" i="17"/>
  <c r="Z439" i="17"/>
  <c r="Z434" i="17"/>
  <c r="Z382" i="17"/>
  <c r="Z350" i="17"/>
  <c r="Z334" i="17"/>
  <c r="Z626" i="17"/>
  <c r="Z418" i="17"/>
  <c r="Z336" i="17"/>
  <c r="Z314" i="17"/>
  <c r="Z303" i="17"/>
  <c r="Z286" i="17"/>
  <c r="Z284" i="17"/>
  <c r="Z271" i="17"/>
  <c r="Z254" i="17"/>
  <c r="Z252" i="17"/>
  <c r="Z239" i="17"/>
  <c r="Z222" i="17"/>
  <c r="Z220" i="17"/>
  <c r="Z207" i="17"/>
  <c r="Z178" i="17"/>
  <c r="Z308" i="17"/>
  <c r="Z290" i="17"/>
  <c r="Z288" i="17"/>
  <c r="Z275" i="17"/>
  <c r="Z258" i="17"/>
  <c r="Z256" i="17"/>
  <c r="Z243" i="17"/>
  <c r="Z226" i="17"/>
  <c r="Z224" i="17"/>
  <c r="Z211" i="17"/>
  <c r="Z194" i="17"/>
  <c r="Z192" i="17"/>
  <c r="Z183" i="17"/>
  <c r="Z176" i="17"/>
  <c r="Z378" i="17"/>
  <c r="Z294" i="17"/>
  <c r="Z292" i="17"/>
  <c r="Z279" i="17"/>
  <c r="Z262" i="17"/>
  <c r="Z260" i="17"/>
  <c r="Z247" i="17"/>
  <c r="Z230" i="17"/>
  <c r="Z228" i="17"/>
  <c r="Z215" i="17"/>
  <c r="Z198" i="17"/>
  <c r="Z196" i="17"/>
  <c r="Z190" i="17"/>
  <c r="Z174" i="17"/>
  <c r="Z410" i="17"/>
  <c r="Z310" i="17"/>
  <c r="Z298" i="17"/>
  <c r="Z296" i="17"/>
  <c r="Z283" i="17"/>
  <c r="Z266" i="17"/>
  <c r="Z264" i="17"/>
  <c r="Z251" i="17"/>
  <c r="Z234" i="17"/>
  <c r="Z232" i="17"/>
  <c r="Z219" i="17"/>
  <c r="Z202" i="17"/>
  <c r="Z200" i="17"/>
  <c r="Z188" i="17"/>
  <c r="Z179" i="17"/>
  <c r="Z172" i="17"/>
  <c r="Z165" i="17"/>
  <c r="Z161" i="17"/>
  <c r="Z157" i="17"/>
  <c r="Z153" i="17"/>
  <c r="Z149" i="17"/>
  <c r="Z145" i="17"/>
  <c r="Z141" i="17"/>
  <c r="Z137" i="17"/>
  <c r="Z133" i="17"/>
  <c r="Z129" i="17"/>
  <c r="Z125" i="17"/>
  <c r="Z121" i="17"/>
  <c r="Z117" i="17"/>
  <c r="Z113" i="17"/>
  <c r="Z109" i="17"/>
  <c r="Z105" i="17"/>
  <c r="Z101" i="17"/>
  <c r="Z97" i="17"/>
  <c r="Z93" i="17"/>
  <c r="Z89" i="17"/>
  <c r="Z85" i="17"/>
  <c r="Z81" i="17"/>
  <c r="Z77" i="17"/>
  <c r="Z73" i="17"/>
  <c r="Z69" i="17"/>
  <c r="Z65" i="17"/>
  <c r="Z61" i="17"/>
  <c r="Z57" i="17"/>
  <c r="Z53" i="17"/>
  <c r="Z49" i="17"/>
  <c r="Z45" i="17"/>
  <c r="Z41" i="17"/>
  <c r="Z37" i="17"/>
  <c r="Z33" i="17"/>
  <c r="Z302" i="17"/>
  <c r="Z300" i="17"/>
  <c r="Z287" i="17"/>
  <c r="Z270" i="17"/>
  <c r="Z268" i="17"/>
  <c r="Z255" i="17"/>
  <c r="Z238" i="17"/>
  <c r="Z236" i="17"/>
  <c r="Z223" i="17"/>
  <c r="Z206" i="17"/>
  <c r="Z204" i="17"/>
  <c r="Z186" i="17"/>
  <c r="Z170" i="17"/>
  <c r="Z426" i="17"/>
  <c r="Z326" i="17"/>
  <c r="Z312" i="17"/>
  <c r="Z304" i="17"/>
  <c r="Z291" i="17"/>
  <c r="Z274" i="17"/>
  <c r="Z272" i="17"/>
  <c r="Z259" i="17"/>
  <c r="Z242" i="17"/>
  <c r="Z240" i="17"/>
  <c r="Z227" i="17"/>
  <c r="Z210" i="17"/>
  <c r="Z208" i="17"/>
  <c r="Z195" i="17"/>
  <c r="Z191" i="17"/>
  <c r="Z184" i="17"/>
  <c r="Z175" i="17"/>
  <c r="Z168" i="17"/>
  <c r="Z162" i="17"/>
  <c r="Z158" i="17"/>
  <c r="Z154" i="17"/>
  <c r="Z150" i="17"/>
  <c r="Z146" i="17"/>
  <c r="Z142" i="17"/>
  <c r="Z138" i="17"/>
  <c r="Z134" i="17"/>
  <c r="Z130" i="17"/>
  <c r="Z126" i="17"/>
  <c r="Z122" i="17"/>
  <c r="Z118" i="17"/>
  <c r="Z114" i="17"/>
  <c r="Z110" i="17"/>
  <c r="Z106" i="17"/>
  <c r="Z102" i="17"/>
  <c r="Z98" i="17"/>
  <c r="Z94" i="17"/>
  <c r="Z90" i="17"/>
  <c r="Z86" i="17"/>
  <c r="Z82" i="17"/>
  <c r="Z78" i="17"/>
  <c r="Z74" i="17"/>
  <c r="Z70" i="17"/>
  <c r="Z66" i="17"/>
  <c r="Z62" i="17"/>
  <c r="Z58" i="17"/>
  <c r="Z54" i="17"/>
  <c r="Z318" i="17"/>
  <c r="Z306" i="17"/>
  <c r="Z299" i="17"/>
  <c r="Z282" i="17"/>
  <c r="Z280" i="17"/>
  <c r="Z267" i="17"/>
  <c r="Z250" i="17"/>
  <c r="Z248" i="17"/>
  <c r="Z235" i="17"/>
  <c r="Z218" i="17"/>
  <c r="Z216" i="17"/>
  <c r="Z203" i="17"/>
  <c r="Z187" i="17"/>
  <c r="Z180" i="17"/>
  <c r="Z171" i="17"/>
  <c r="Z163" i="17"/>
  <c r="Z159" i="17"/>
  <c r="Z155" i="17"/>
  <c r="Z151" i="17"/>
  <c r="Z147" i="17"/>
  <c r="Z143" i="17"/>
  <c r="Z139" i="17"/>
  <c r="Z135" i="17"/>
  <c r="Z131" i="17"/>
  <c r="Z127" i="17"/>
  <c r="Z123" i="17"/>
  <c r="Z119" i="17"/>
  <c r="Z115" i="17"/>
  <c r="Z111" i="17"/>
  <c r="Z107" i="17"/>
  <c r="Z103" i="17"/>
  <c r="Z99" i="17"/>
  <c r="Z95" i="17"/>
  <c r="Z91" i="17"/>
  <c r="Z87" i="17"/>
  <c r="Z83" i="17"/>
  <c r="Z79" i="17"/>
  <c r="Z75" i="17"/>
  <c r="Z71" i="17"/>
  <c r="Z67" i="17"/>
  <c r="Z63" i="17"/>
  <c r="Z59" i="17"/>
  <c r="Z55" i="17"/>
  <c r="Z51" i="17"/>
  <c r="Z47" i="17"/>
  <c r="Z43" i="17"/>
  <c r="Z39" i="17"/>
  <c r="Z35" i="17"/>
  <c r="Z31" i="17"/>
  <c r="Z136" i="17"/>
  <c r="Z104" i="17"/>
  <c r="Z72" i="17"/>
  <c r="Z28" i="17"/>
  <c r="Z8" i="17"/>
  <c r="Z96" i="17"/>
  <c r="Z64" i="17"/>
  <c r="Z199" i="17"/>
  <c r="Z160" i="17"/>
  <c r="Z140" i="17"/>
  <c r="Z108" i="17"/>
  <c r="Z76" i="17"/>
  <c r="Z38" i="17"/>
  <c r="Z19" i="17"/>
  <c r="Z322" i="17"/>
  <c r="Z231" i="17"/>
  <c r="Z214" i="17"/>
  <c r="Z182" i="17"/>
  <c r="Z164" i="17"/>
  <c r="Z156" i="17"/>
  <c r="Z144" i="17"/>
  <c r="Z112" i="17"/>
  <c r="Z80" i="17"/>
  <c r="Z36" i="17"/>
  <c r="Z29" i="17"/>
  <c r="Z25" i="17"/>
  <c r="Z21" i="17"/>
  <c r="Z17" i="17"/>
  <c r="Z13" i="17"/>
  <c r="Z9" i="17"/>
  <c r="Z4" i="17"/>
  <c r="Z15" i="17"/>
  <c r="Z263" i="17"/>
  <c r="Z246" i="17"/>
  <c r="Z212" i="17"/>
  <c r="Z148" i="17"/>
  <c r="Z116" i="17"/>
  <c r="Z84" i="17"/>
  <c r="Z52" i="17"/>
  <c r="Z50" i="17"/>
  <c r="Z34" i="17"/>
  <c r="Z27" i="17"/>
  <c r="Z7" i="17"/>
  <c r="Z295" i="17"/>
  <c r="Z278" i="17"/>
  <c r="Z244" i="17"/>
  <c r="Z152" i="17"/>
  <c r="Z120" i="17"/>
  <c r="Z88" i="17"/>
  <c r="Z56" i="17"/>
  <c r="Z48" i="17"/>
  <c r="Z32" i="17"/>
  <c r="Z26" i="17"/>
  <c r="Z22" i="17"/>
  <c r="Z18" i="17"/>
  <c r="Z14" i="17"/>
  <c r="Z10" i="17"/>
  <c r="Z6" i="17"/>
  <c r="Z124" i="17"/>
  <c r="Z92" i="17"/>
  <c r="Z60" i="17"/>
  <c r="Z30" i="17"/>
  <c r="Z44" i="17"/>
  <c r="Z23" i="17"/>
  <c r="Z276" i="17"/>
  <c r="Z46" i="17"/>
  <c r="Z128" i="17"/>
  <c r="Z11" i="17"/>
  <c r="Z166" i="17"/>
  <c r="Z132" i="17"/>
  <c r="Z100" i="17"/>
  <c r="Z68" i="17"/>
  <c r="Z42" i="17"/>
  <c r="Z40" i="17"/>
  <c r="Z24" i="17"/>
  <c r="Z20" i="17"/>
  <c r="Z16" i="17"/>
  <c r="Z12" i="17"/>
  <c r="Z167" i="17"/>
  <c r="E541" i="9"/>
  <c r="E157" i="9"/>
  <c r="E544" i="9"/>
  <c r="E155" i="9"/>
  <c r="E290" i="9"/>
  <c r="E291" i="9"/>
  <c r="E289" i="9"/>
  <c r="E42" i="9"/>
  <c r="E507" i="9"/>
  <c r="E462" i="9"/>
  <c r="E463" i="9"/>
  <c r="E466" i="9"/>
  <c r="E464" i="9"/>
  <c r="E320" i="9"/>
  <c r="E288" i="9"/>
  <c r="E210" i="9"/>
  <c r="E295" i="9"/>
  <c r="E24" i="9"/>
  <c r="E147" i="9"/>
  <c r="E144" i="9"/>
  <c r="E39" i="9"/>
  <c r="E417" i="9"/>
  <c r="E53" i="9"/>
  <c r="E152" i="9"/>
  <c r="E150" i="9"/>
  <c r="E271" i="9"/>
  <c r="E356" i="9"/>
  <c r="E32" i="9"/>
  <c r="E561" i="9"/>
  <c r="E560" i="9"/>
  <c r="E34" i="9"/>
  <c r="E36" i="9"/>
  <c r="E597" i="9"/>
  <c r="E309" i="9"/>
  <c r="E588" i="9"/>
  <c r="E405" i="9"/>
  <c r="E422" i="9"/>
  <c r="E421" i="9"/>
  <c r="E388" i="9"/>
  <c r="E486" i="9"/>
  <c r="E485" i="9"/>
  <c r="E484" i="9"/>
  <c r="E425" i="9"/>
  <c r="E527" i="9"/>
  <c r="E526" i="9"/>
  <c r="E297" i="9"/>
  <c r="E493" i="9"/>
  <c r="E496" i="9"/>
  <c r="E428" i="9"/>
  <c r="E427" i="9"/>
  <c r="E490" i="9"/>
  <c r="E489" i="9"/>
  <c r="E488" i="9"/>
  <c r="E575" i="9"/>
  <c r="E293" i="9"/>
  <c r="E300" i="9"/>
  <c r="E582" i="9"/>
  <c r="E84" i="9"/>
  <c r="E433" i="9"/>
  <c r="E285" i="9"/>
  <c r="E232" i="9"/>
  <c r="E226" i="9"/>
  <c r="E237" i="9"/>
  <c r="E229" i="9"/>
  <c r="E216" i="9"/>
  <c r="E219" i="9"/>
  <c r="E222" i="9"/>
  <c r="E225" i="9"/>
  <c r="E236" i="9"/>
  <c r="E221" i="9"/>
  <c r="E215" i="9"/>
  <c r="E218" i="9"/>
  <c r="E240" i="9"/>
  <c r="E231" i="9"/>
  <c r="E238" i="9"/>
  <c r="E224" i="9"/>
  <c r="E239" i="9"/>
  <c r="E235" i="9"/>
  <c r="E220" i="9"/>
  <c r="E228" i="9"/>
  <c r="E214" i="9"/>
  <c r="E217" i="9"/>
  <c r="E230" i="9"/>
  <c r="E223" i="9"/>
  <c r="E233" i="9"/>
  <c r="E234" i="9"/>
  <c r="E227" i="9"/>
  <c r="E213" i="9"/>
  <c r="E246" i="9"/>
  <c r="E203" i="9"/>
  <c r="E248" i="9"/>
  <c r="E251" i="9"/>
  <c r="E249" i="9"/>
  <c r="E250" i="9"/>
  <c r="E247" i="9"/>
  <c r="E245" i="9"/>
  <c r="E365" i="9"/>
  <c r="E358" i="9"/>
  <c r="E28" i="9"/>
  <c r="E26" i="9"/>
  <c r="E124" i="9"/>
  <c r="E122" i="9"/>
  <c r="E113" i="9"/>
  <c r="E569" i="9"/>
  <c r="E128" i="9"/>
  <c r="E126" i="9"/>
  <c r="E538" i="9"/>
  <c r="E120" i="9"/>
  <c r="E119" i="9"/>
  <c r="E253" i="9"/>
  <c r="E132" i="9"/>
  <c r="E170" i="9"/>
  <c r="E398" i="9"/>
  <c r="E431" i="9"/>
  <c r="E430" i="9"/>
  <c r="E542" i="9"/>
  <c r="E540" i="9"/>
  <c r="E159" i="9"/>
  <c r="E6" i="9"/>
  <c r="E86" i="9"/>
  <c r="E2" i="9"/>
  <c r="E5" i="9"/>
  <c r="E3" i="9"/>
  <c r="E90" i="9"/>
  <c r="E89" i="9"/>
  <c r="E539" i="9"/>
  <c r="E81" i="9"/>
  <c r="E58" i="9"/>
  <c r="E57" i="9"/>
  <c r="E59" i="9"/>
  <c r="E52" i="9"/>
  <c r="E62" i="9"/>
  <c r="E61" i="9"/>
  <c r="E60" i="9"/>
  <c r="E63" i="9"/>
  <c r="E177" i="9"/>
  <c r="E174" i="9"/>
  <c r="E178" i="9"/>
  <c r="E175" i="9"/>
  <c r="E176" i="9"/>
  <c r="E173" i="9"/>
  <c r="E179" i="9"/>
  <c r="E458" i="9"/>
  <c r="E460" i="9"/>
  <c r="E459" i="9"/>
  <c r="E95" i="9"/>
  <c r="E96" i="9"/>
  <c r="E97" i="9"/>
  <c r="E192" i="9"/>
  <c r="E193" i="9"/>
  <c r="E194" i="9"/>
  <c r="E195" i="9"/>
  <c r="E191" i="9"/>
  <c r="E47" i="9"/>
  <c r="E79" i="9"/>
  <c r="E78" i="9"/>
  <c r="E76" i="9"/>
  <c r="E77" i="9"/>
  <c r="E75" i="9"/>
  <c r="E166" i="9"/>
  <c r="E242" i="9"/>
  <c r="E202" i="9"/>
  <c r="E517" i="9"/>
  <c r="E410" i="9"/>
  <c r="E412" i="9"/>
  <c r="E408" i="9"/>
  <c r="E409" i="9"/>
  <c r="E411" i="9"/>
  <c r="E533" i="9"/>
  <c r="E519" i="9"/>
  <c r="E453" i="9"/>
  <c r="E448" i="9"/>
  <c r="E520" i="9"/>
  <c r="E156" i="9"/>
  <c r="E401" i="9"/>
  <c r="E402" i="9"/>
  <c r="E400" i="9"/>
  <c r="E399" i="9"/>
  <c r="E403" i="9"/>
  <c r="E620" i="9"/>
  <c r="E548" i="9"/>
  <c r="E546" i="9"/>
  <c r="E545" i="9"/>
  <c r="E547" i="9"/>
  <c r="E543" i="9"/>
  <c r="E522" i="9"/>
  <c r="E521" i="9"/>
  <c r="E518" i="9"/>
  <c r="E442" i="9"/>
  <c r="E154" i="9"/>
  <c r="E167" i="9"/>
  <c r="E110" i="9"/>
  <c r="E451" i="9"/>
  <c r="E452" i="9"/>
  <c r="E450" i="9"/>
  <c r="E102" i="9"/>
  <c r="E305" i="9"/>
  <c r="E171" i="9"/>
  <c r="E503" i="9"/>
  <c r="E502" i="9"/>
  <c r="E263" i="9"/>
  <c r="E264" i="9"/>
  <c r="E266" i="9"/>
  <c r="E265" i="9"/>
  <c r="E165" i="9"/>
  <c r="E43" i="9"/>
  <c r="E44" i="9"/>
  <c r="E45" i="9"/>
  <c r="E46" i="9"/>
  <c r="E41" i="9"/>
  <c r="E134" i="9"/>
  <c r="E515" i="9"/>
  <c r="E508" i="9"/>
  <c r="E506" i="9"/>
  <c r="E168" i="9"/>
  <c r="E304" i="9"/>
  <c r="E505" i="9"/>
  <c r="E504" i="9"/>
  <c r="E472" i="9"/>
  <c r="E470" i="9"/>
  <c r="E471" i="9"/>
  <c r="E468" i="9"/>
  <c r="E474" i="9"/>
  <c r="E473" i="9"/>
  <c r="E465" i="9"/>
  <c r="E467" i="9"/>
  <c r="E469" i="9"/>
  <c r="E346" i="9"/>
  <c r="E337" i="9"/>
  <c r="E339" i="9"/>
  <c r="E338" i="9"/>
  <c r="E342" i="9"/>
  <c r="E345" i="9"/>
  <c r="E340" i="9"/>
  <c r="E343" i="9"/>
  <c r="E341" i="9"/>
  <c r="E330" i="9"/>
  <c r="E332" i="9"/>
  <c r="E333" i="9"/>
  <c r="E331" i="9"/>
  <c r="E334" i="9"/>
  <c r="E336" i="9"/>
  <c r="E335" i="9"/>
  <c r="E153" i="9"/>
  <c r="E85" i="9"/>
  <c r="E260" i="9"/>
  <c r="E262" i="9"/>
  <c r="E261" i="9"/>
  <c r="E259" i="9"/>
  <c r="E257" i="9"/>
  <c r="E287" i="9"/>
  <c r="E328" i="9"/>
  <c r="E584" i="9"/>
  <c r="E103" i="9"/>
  <c r="E585" i="9"/>
  <c r="E108" i="9"/>
  <c r="E586" i="9"/>
  <c r="E209" i="9"/>
  <c r="E319" i="9"/>
  <c r="E318" i="9"/>
  <c r="E255" i="9"/>
  <c r="E254" i="9"/>
  <c r="E317" i="9"/>
  <c r="E212" i="9"/>
  <c r="E211" i="9"/>
  <c r="E419" i="9"/>
  <c r="E201" i="9"/>
  <c r="E200" i="9"/>
  <c r="E199" i="9"/>
  <c r="E329" i="9"/>
  <c r="E241" i="9"/>
  <c r="E294" i="9"/>
  <c r="E535" i="9"/>
  <c r="E480" i="9"/>
  <c r="E479" i="9"/>
  <c r="E621" i="9"/>
  <c r="E622" i="9"/>
  <c r="E310" i="9"/>
  <c r="E596" i="9"/>
  <c r="E160" i="9"/>
  <c r="E23" i="9"/>
  <c r="E327" i="9"/>
  <c r="E109" i="9"/>
  <c r="E598" i="9"/>
  <c r="E268" i="9"/>
  <c r="E148" i="9"/>
  <c r="E145" i="9"/>
  <c r="E146" i="9"/>
  <c r="E143" i="9"/>
  <c r="E274" i="9"/>
  <c r="E599" i="9"/>
  <c r="E307" i="9"/>
  <c r="E244" i="9"/>
  <c r="E208" i="9"/>
  <c r="E207" i="9"/>
  <c r="E140" i="9"/>
  <c r="E141" i="9"/>
  <c r="E142" i="9"/>
  <c r="E138" i="9"/>
  <c r="E139" i="9"/>
  <c r="E349" i="9"/>
  <c r="E350" i="9"/>
  <c r="E353" i="9"/>
  <c r="E348" i="9"/>
  <c r="E347" i="9"/>
  <c r="E352" i="9"/>
  <c r="E344" i="9"/>
  <c r="E351" i="9"/>
  <c r="E536" i="9"/>
  <c r="E161" i="9"/>
  <c r="E258" i="9"/>
  <c r="E38" i="9"/>
  <c r="E416" i="9"/>
  <c r="E600" i="9"/>
  <c r="E54" i="9"/>
  <c r="E80" i="9"/>
  <c r="E55" i="9"/>
  <c r="E56" i="9"/>
  <c r="E137" i="9"/>
  <c r="E136" i="9"/>
  <c r="E135" i="9"/>
  <c r="E73" i="9"/>
  <c r="E74" i="9"/>
  <c r="E72" i="9"/>
  <c r="E71" i="9"/>
  <c r="E64" i="9"/>
  <c r="E69" i="9"/>
  <c r="E67" i="9"/>
  <c r="E68" i="9"/>
  <c r="E65" i="9"/>
  <c r="E66" i="9"/>
  <c r="E70" i="9"/>
  <c r="E267" i="9"/>
  <c r="E619" i="9"/>
  <c r="E618" i="9"/>
  <c r="E605" i="9"/>
  <c r="E99" i="9"/>
  <c r="E601" i="9"/>
  <c r="E277" i="9"/>
  <c r="E447" i="9"/>
  <c r="E418" i="9"/>
  <c r="E325" i="9"/>
  <c r="E315" i="9"/>
  <c r="E312" i="9"/>
  <c r="E313" i="9"/>
  <c r="E314" i="9"/>
  <c r="E311" i="9"/>
  <c r="E151" i="9"/>
  <c r="E149" i="9"/>
  <c r="E276" i="9"/>
  <c r="E283" i="9"/>
  <c r="E591" i="9"/>
  <c r="E273" i="9"/>
  <c r="E316" i="9"/>
  <c r="E272" i="9"/>
  <c r="E270" i="9"/>
  <c r="E512" i="9"/>
  <c r="E604" i="9"/>
  <c r="E98" i="9"/>
  <c r="E306" i="9"/>
  <c r="E602" i="9"/>
  <c r="E50" i="9"/>
  <c r="E111" i="9"/>
  <c r="E413" i="9"/>
  <c r="E595" i="9"/>
  <c r="E478" i="9"/>
  <c r="E31" i="9"/>
  <c r="E559" i="9"/>
  <c r="E454" i="9"/>
  <c r="E446" i="9"/>
  <c r="E33" i="9"/>
  <c r="E326" i="9"/>
  <c r="E104" i="9"/>
  <c r="E37" i="9"/>
  <c r="E35" i="9"/>
  <c r="E278" i="9"/>
  <c r="E275" i="9"/>
  <c r="E269" i="9"/>
  <c r="E355" i="9"/>
  <c r="E449" i="9"/>
  <c r="E423" i="9"/>
  <c r="E606" i="9"/>
  <c r="E308" i="9"/>
  <c r="E499" i="9"/>
  <c r="E386" i="9"/>
  <c r="E501" i="9"/>
  <c r="E587" i="9"/>
  <c r="E516" i="9"/>
  <c r="E404" i="9"/>
  <c r="E321" i="9"/>
  <c r="E420" i="9"/>
  <c r="E389" i="9"/>
  <c r="E391" i="9"/>
  <c r="E390" i="9"/>
  <c r="E387" i="9"/>
  <c r="E500" i="9"/>
  <c r="E481" i="9"/>
  <c r="E482" i="9"/>
  <c r="E483" i="9"/>
  <c r="E88" i="9"/>
  <c r="E477" i="9"/>
  <c r="E302" i="9"/>
  <c r="E607" i="9"/>
  <c r="E49" i="9"/>
  <c r="E461" i="9"/>
  <c r="E424" i="9"/>
  <c r="E525" i="9"/>
  <c r="E92" i="9"/>
  <c r="E296" i="9"/>
  <c r="E286" i="9"/>
  <c r="E494" i="9"/>
  <c r="E497" i="9"/>
  <c r="E495" i="9"/>
  <c r="E426" i="9"/>
  <c r="E594" i="9"/>
  <c r="E513" i="9"/>
  <c r="E593" i="9"/>
  <c r="E491" i="9"/>
  <c r="E487" i="9"/>
  <c r="E492" i="9"/>
  <c r="E577" i="9"/>
  <c r="E93" i="9"/>
  <c r="E94" i="9"/>
  <c r="E579" i="9"/>
  <c r="E573" i="9"/>
  <c r="E576" i="9"/>
  <c r="E574" i="9"/>
  <c r="E8" i="9"/>
  <c r="E511" i="9"/>
  <c r="E509" i="9"/>
  <c r="E510" i="9"/>
  <c r="E580" i="9"/>
  <c r="E20" i="9"/>
  <c r="E7" i="9"/>
  <c r="E22" i="9"/>
  <c r="E17" i="9"/>
  <c r="E523" i="9"/>
  <c r="E301" i="9"/>
  <c r="E30" i="9"/>
  <c r="E532" i="9"/>
  <c r="E9" i="9"/>
  <c r="E578" i="9"/>
  <c r="E292" i="9"/>
  <c r="E16" i="9"/>
  <c r="E14" i="9"/>
  <c r="E551" i="9"/>
  <c r="E534" i="9"/>
  <c r="E101" i="9"/>
  <c r="E172" i="9"/>
  <c r="E455" i="9"/>
  <c r="E299" i="9"/>
  <c r="E48" i="9"/>
  <c r="E583" i="9"/>
  <c r="E581" i="9"/>
  <c r="E15" i="9"/>
  <c r="E13" i="9"/>
  <c r="E11" i="9"/>
  <c r="E12" i="9"/>
  <c r="E10" i="9"/>
  <c r="E524" i="9"/>
  <c r="E476" i="9"/>
  <c r="E298" i="9"/>
  <c r="E87" i="9"/>
  <c r="E4" i="9"/>
  <c r="E445" i="9"/>
  <c r="E444" i="9"/>
  <c r="E443" i="9"/>
  <c r="E82" i="9"/>
  <c r="E198" i="9"/>
  <c r="E197" i="9"/>
  <c r="E196" i="9"/>
  <c r="E164" i="9"/>
  <c r="E514" i="9"/>
  <c r="E158" i="9"/>
  <c r="E100" i="9"/>
  <c r="E91" i="9"/>
  <c r="E205" i="9"/>
  <c r="E415" i="9"/>
  <c r="E29" i="9"/>
  <c r="E303" i="9"/>
  <c r="E83" i="9"/>
  <c r="E440" i="9"/>
  <c r="E441" i="9"/>
  <c r="E40" i="9"/>
  <c r="E21" i="9"/>
  <c r="E19" i="9"/>
  <c r="E18" i="9"/>
  <c r="E414" i="9"/>
  <c r="E432" i="9"/>
  <c r="E475" i="9"/>
  <c r="E284" i="9"/>
  <c r="E106" i="9"/>
  <c r="E107" i="9"/>
  <c r="E105" i="9"/>
  <c r="E359" i="9"/>
  <c r="E363" i="9"/>
  <c r="E360" i="9"/>
  <c r="E361" i="9"/>
  <c r="E362" i="9"/>
  <c r="E364" i="9"/>
  <c r="E357" i="9"/>
  <c r="E623" i="9"/>
  <c r="E624" i="9"/>
  <c r="E552" i="9"/>
  <c r="E617" i="9"/>
  <c r="E27" i="9"/>
  <c r="E25" i="9"/>
  <c r="E163" i="9"/>
  <c r="E162" i="9"/>
  <c r="E557" i="9"/>
  <c r="E556" i="9"/>
  <c r="E130" i="9"/>
  <c r="E129" i="9"/>
  <c r="E51" i="9"/>
  <c r="E115" i="9"/>
  <c r="E123" i="9"/>
  <c r="E121" i="9"/>
  <c r="E112" i="9"/>
  <c r="E434" i="9"/>
  <c r="E436" i="9"/>
  <c r="E438" i="9"/>
  <c r="E439" i="9"/>
  <c r="E435" i="9"/>
  <c r="E437" i="9"/>
  <c r="E204" i="9"/>
  <c r="E537" i="9"/>
  <c r="E457" i="9"/>
  <c r="E555" i="9"/>
  <c r="E554" i="9"/>
  <c r="E553" i="9"/>
  <c r="E117" i="9"/>
  <c r="E529" i="9"/>
  <c r="E530" i="9"/>
  <c r="E528" i="9"/>
  <c r="E531" i="9"/>
  <c r="E568" i="9"/>
  <c r="E127" i="9"/>
  <c r="E125" i="9"/>
  <c r="E114" i="9"/>
  <c r="E603" i="9"/>
  <c r="E563" i="9"/>
  <c r="E565" i="9"/>
  <c r="E566" i="9"/>
  <c r="E564" i="9"/>
  <c r="E567" i="9"/>
  <c r="E562" i="9"/>
  <c r="E206" i="9"/>
  <c r="E118" i="9"/>
  <c r="E243" i="9"/>
  <c r="E252" i="9"/>
  <c r="E456" i="9"/>
  <c r="E133" i="9"/>
  <c r="E131" i="9"/>
  <c r="E323" i="9"/>
  <c r="E324" i="9"/>
  <c r="E322" i="9"/>
  <c r="E281" i="9"/>
  <c r="E279" i="9"/>
  <c r="E282" i="9"/>
  <c r="E280" i="9"/>
  <c r="E187" i="9"/>
  <c r="E185" i="9"/>
  <c r="E188" i="9"/>
  <c r="E186" i="9"/>
  <c r="E183" i="9"/>
  <c r="E184" i="9"/>
  <c r="E181" i="9"/>
  <c r="E182" i="9"/>
  <c r="E189" i="9"/>
  <c r="E180" i="9"/>
  <c r="E570" i="9"/>
  <c r="E549" i="9"/>
  <c r="E550" i="9"/>
  <c r="E592" i="9"/>
  <c r="E590" i="9"/>
  <c r="E385" i="9"/>
  <c r="E375" i="9"/>
  <c r="E374" i="9"/>
  <c r="E379" i="9"/>
  <c r="E378" i="9"/>
  <c r="E376" i="9"/>
  <c r="E377" i="9"/>
  <c r="E380" i="9"/>
  <c r="E381" i="9"/>
  <c r="E384" i="9"/>
  <c r="E383" i="9"/>
  <c r="E382" i="9"/>
  <c r="E373" i="9"/>
  <c r="E407" i="9"/>
  <c r="E256" i="9"/>
  <c r="E169" i="9"/>
  <c r="E498" i="9"/>
  <c r="E354" i="9"/>
  <c r="E610" i="9"/>
  <c r="E611" i="9"/>
  <c r="E572" i="9"/>
  <c r="E614" i="9"/>
  <c r="E613" i="9"/>
  <c r="E615" i="9"/>
  <c r="E616" i="9"/>
  <c r="E609" i="9"/>
  <c r="E612" i="9"/>
  <c r="E608" i="9"/>
  <c r="E392" i="9"/>
  <c r="E571" i="9"/>
  <c r="E558" i="9"/>
  <c r="E406" i="9"/>
  <c r="E397" i="9"/>
  <c r="E395" i="9"/>
  <c r="E394" i="9"/>
  <c r="E396" i="9"/>
  <c r="E393" i="9"/>
  <c r="E368" i="9"/>
  <c r="E367" i="9"/>
  <c r="E370" i="9"/>
  <c r="E369" i="9"/>
  <c r="E371" i="9"/>
  <c r="E372" i="9"/>
  <c r="E366" i="9"/>
  <c r="E589" i="9"/>
  <c r="E429" i="9"/>
  <c r="E190" i="9"/>
  <c r="E116" i="9"/>
  <c r="U891" i="17"/>
  <c r="T891" i="17"/>
  <c r="S891" i="17"/>
  <c r="R891" i="17"/>
  <c r="Q891" i="17"/>
  <c r="U682" i="17"/>
  <c r="T682" i="17"/>
  <c r="S682" i="17"/>
  <c r="R682" i="17"/>
  <c r="Q682" i="17"/>
  <c r="U473" i="17"/>
  <c r="T473" i="17"/>
  <c r="S473" i="17"/>
  <c r="R473" i="17"/>
  <c r="Q473" i="17"/>
  <c r="V264" i="17"/>
  <c r="U264" i="17"/>
  <c r="T264" i="17"/>
  <c r="S264" i="17"/>
  <c r="R264" i="17"/>
  <c r="Q264" i="17"/>
  <c r="V55" i="17"/>
  <c r="U55" i="17"/>
  <c r="T55" i="17"/>
  <c r="S55" i="17"/>
  <c r="R55" i="17"/>
  <c r="Q55" i="17"/>
  <c r="V473" i="17" l="1"/>
  <c r="Q96" i="17"/>
  <c r="R96" i="17"/>
  <c r="S96" i="17"/>
  <c r="T96" i="17"/>
  <c r="U96" i="17"/>
  <c r="V96" i="17"/>
  <c r="V186" i="17"/>
  <c r="U186" i="17"/>
  <c r="T186" i="17"/>
  <c r="S186" i="17"/>
  <c r="R186" i="17"/>
  <c r="Q186" i="17"/>
  <c r="V395" i="17"/>
  <c r="U395" i="17"/>
  <c r="T395" i="17"/>
  <c r="S395" i="17"/>
  <c r="R395" i="17"/>
  <c r="Q395" i="17"/>
  <c r="V604" i="17"/>
  <c r="U604" i="17"/>
  <c r="T604" i="17"/>
  <c r="S604" i="17"/>
  <c r="R604" i="17"/>
  <c r="Q604" i="17"/>
  <c r="V813" i="17"/>
  <c r="U813" i="17"/>
  <c r="T813" i="17"/>
  <c r="S813" i="17"/>
  <c r="R813" i="17"/>
  <c r="Q813" i="17"/>
  <c r="V1022" i="17"/>
  <c r="U1022" i="17"/>
  <c r="T1022" i="17"/>
  <c r="S1022" i="17"/>
  <c r="R1022" i="17"/>
  <c r="Q1022" i="17"/>
  <c r="V962" i="17"/>
  <c r="U962" i="17"/>
  <c r="T962" i="17"/>
  <c r="S962" i="17"/>
  <c r="R962" i="17"/>
  <c r="Q962" i="17"/>
  <c r="V753" i="17"/>
  <c r="U753" i="17"/>
  <c r="T753" i="17"/>
  <c r="S753" i="17"/>
  <c r="R753" i="17"/>
  <c r="Q753" i="17"/>
  <c r="V544" i="17"/>
  <c r="U544" i="17"/>
  <c r="T544" i="17"/>
  <c r="S544" i="17"/>
  <c r="R544" i="17"/>
  <c r="Q544" i="17"/>
  <c r="V335" i="17"/>
  <c r="U335" i="17"/>
  <c r="T335" i="17"/>
  <c r="S335" i="17"/>
  <c r="R335" i="17"/>
  <c r="Q335" i="17"/>
  <c r="V126" i="17"/>
  <c r="U126" i="17"/>
  <c r="T126" i="17"/>
  <c r="S126" i="17"/>
  <c r="R126" i="17"/>
  <c r="Q126" i="17"/>
  <c r="V1047" i="17"/>
  <c r="U1047" i="17"/>
  <c r="T1047" i="17"/>
  <c r="S1047" i="17"/>
  <c r="R1047" i="17"/>
  <c r="Q1047" i="17"/>
  <c r="V1039" i="17"/>
  <c r="U1039" i="17"/>
  <c r="T1039" i="17"/>
  <c r="S1039" i="17"/>
  <c r="R1039" i="17"/>
  <c r="Q1039" i="17"/>
  <c r="V838" i="17"/>
  <c r="U838" i="17"/>
  <c r="T838" i="17"/>
  <c r="S838" i="17"/>
  <c r="R838" i="17"/>
  <c r="Q838" i="17"/>
  <c r="V830" i="17"/>
  <c r="U830" i="17"/>
  <c r="T830" i="17"/>
  <c r="S830" i="17"/>
  <c r="R830" i="17"/>
  <c r="Q830" i="17"/>
  <c r="V629" i="17"/>
  <c r="U629" i="17"/>
  <c r="T629" i="17"/>
  <c r="S629" i="17"/>
  <c r="R629" i="17"/>
  <c r="Q629" i="17"/>
  <c r="V621" i="17"/>
  <c r="U621" i="17"/>
  <c r="T621" i="17"/>
  <c r="S621" i="17"/>
  <c r="R621" i="17"/>
  <c r="Q621" i="17"/>
  <c r="V420" i="17"/>
  <c r="U420" i="17"/>
  <c r="T420" i="17"/>
  <c r="S420" i="17"/>
  <c r="R420" i="17"/>
  <c r="Q420" i="17"/>
  <c r="V412" i="17"/>
  <c r="U412" i="17"/>
  <c r="T412" i="17"/>
  <c r="S412" i="17"/>
  <c r="R412" i="17"/>
  <c r="Q412" i="17"/>
  <c r="V211" i="17"/>
  <c r="U211" i="17"/>
  <c r="T211" i="17"/>
  <c r="S211" i="17"/>
  <c r="R211" i="17"/>
  <c r="Q211" i="17"/>
  <c r="V203" i="17"/>
  <c r="U203" i="17"/>
  <c r="T203" i="17"/>
  <c r="S203" i="17"/>
  <c r="R203" i="17"/>
  <c r="Q203" i="17"/>
  <c r="V871" i="17"/>
  <c r="U871" i="17"/>
  <c r="T871" i="17"/>
  <c r="S871" i="17"/>
  <c r="R871" i="17"/>
  <c r="Q871" i="17"/>
  <c r="V868" i="17"/>
  <c r="U868" i="17"/>
  <c r="T868" i="17"/>
  <c r="S868" i="17"/>
  <c r="R868" i="17"/>
  <c r="Q868" i="17"/>
  <c r="V865" i="17"/>
  <c r="U865" i="17"/>
  <c r="T865" i="17"/>
  <c r="S865" i="17"/>
  <c r="R865" i="17"/>
  <c r="Q865" i="17"/>
  <c r="V860" i="17"/>
  <c r="U860" i="17"/>
  <c r="T860" i="17"/>
  <c r="S860" i="17"/>
  <c r="R860" i="17"/>
  <c r="Q860" i="17"/>
  <c r="V662" i="17"/>
  <c r="U662" i="17"/>
  <c r="T662" i="17"/>
  <c r="S662" i="17"/>
  <c r="R662" i="17"/>
  <c r="Q662" i="17"/>
  <c r="V659" i="17"/>
  <c r="U659" i="17"/>
  <c r="T659" i="17"/>
  <c r="S659" i="17"/>
  <c r="R659" i="17"/>
  <c r="Q659" i="17"/>
  <c r="V656" i="17"/>
  <c r="U656" i="17"/>
  <c r="T656" i="17"/>
  <c r="S656" i="17"/>
  <c r="R656" i="17"/>
  <c r="Q656" i="17"/>
  <c r="V651" i="17"/>
  <c r="U651" i="17"/>
  <c r="T651" i="17"/>
  <c r="S651" i="17"/>
  <c r="R651" i="17"/>
  <c r="Q651" i="17"/>
  <c r="V453" i="17"/>
  <c r="U453" i="17"/>
  <c r="T453" i="17"/>
  <c r="S453" i="17"/>
  <c r="R453" i="17"/>
  <c r="Q453" i="17"/>
  <c r="V450" i="17"/>
  <c r="U450" i="17"/>
  <c r="T450" i="17"/>
  <c r="S450" i="17"/>
  <c r="R450" i="17"/>
  <c r="Q450" i="17"/>
  <c r="V447" i="17"/>
  <c r="U447" i="17"/>
  <c r="T447" i="17"/>
  <c r="S447" i="17"/>
  <c r="R447" i="17"/>
  <c r="Q447" i="17"/>
  <c r="V442" i="17"/>
  <c r="U442" i="17"/>
  <c r="T442" i="17"/>
  <c r="S442" i="17"/>
  <c r="R442" i="17"/>
  <c r="Q442" i="17"/>
  <c r="V244" i="17"/>
  <c r="U244" i="17"/>
  <c r="T244" i="17"/>
  <c r="S244" i="17"/>
  <c r="R244" i="17"/>
  <c r="Q244" i="17"/>
  <c r="V241" i="17"/>
  <c r="U241" i="17"/>
  <c r="T241" i="17"/>
  <c r="S241" i="17"/>
  <c r="R241" i="17"/>
  <c r="Q241" i="17"/>
  <c r="V238" i="17"/>
  <c r="U238" i="17"/>
  <c r="T238" i="17"/>
  <c r="S238" i="17"/>
  <c r="R238" i="17"/>
  <c r="Q238" i="17"/>
  <c r="V233" i="17"/>
  <c r="U233" i="17"/>
  <c r="T233" i="17"/>
  <c r="S233" i="17"/>
  <c r="R233" i="17"/>
  <c r="Q233" i="17"/>
  <c r="V35" i="17"/>
  <c r="U35" i="17"/>
  <c r="T35" i="17"/>
  <c r="S35" i="17"/>
  <c r="R35" i="17"/>
  <c r="Q35" i="17"/>
  <c r="V32" i="17"/>
  <c r="U32" i="17"/>
  <c r="T32" i="17"/>
  <c r="S32" i="17"/>
  <c r="R32" i="17"/>
  <c r="Q32" i="17"/>
  <c r="V29" i="17"/>
  <c r="U29" i="17"/>
  <c r="T29" i="17"/>
  <c r="S29" i="17"/>
  <c r="R29" i="17"/>
  <c r="Q29" i="17"/>
  <c r="V24" i="17"/>
  <c r="U24" i="17"/>
  <c r="T24" i="17"/>
  <c r="S24" i="17"/>
  <c r="R24" i="17"/>
  <c r="Q24" i="17"/>
  <c r="V891" i="17" l="1"/>
  <c r="V682" i="17"/>
  <c r="V857" i="17" l="1"/>
  <c r="U857" i="17"/>
  <c r="T857" i="17"/>
  <c r="S857" i="17"/>
  <c r="R857" i="17"/>
  <c r="Q857" i="17"/>
  <c r="V648" i="17"/>
  <c r="U648" i="17"/>
  <c r="T648" i="17"/>
  <c r="S648" i="17"/>
  <c r="R648" i="17"/>
  <c r="Q648" i="17"/>
  <c r="V439" i="17"/>
  <c r="U439" i="17"/>
  <c r="T439" i="17"/>
  <c r="S439" i="17"/>
  <c r="R439" i="17"/>
  <c r="Q439" i="17"/>
  <c r="V230" i="17"/>
  <c r="U230" i="17"/>
  <c r="T230" i="17"/>
  <c r="S230" i="17"/>
  <c r="R230" i="17"/>
  <c r="Q230" i="17"/>
  <c r="Q21" i="17"/>
  <c r="R21" i="17"/>
  <c r="S21" i="17"/>
  <c r="T21" i="17"/>
  <c r="U21" i="17"/>
  <c r="V21" i="17"/>
  <c r="AP14" i="17" l="1"/>
  <c r="B126" i="17"/>
  <c r="B125" i="17"/>
  <c r="B124" i="17"/>
  <c r="K126" i="17"/>
  <c r="K125" i="17"/>
  <c r="K124" i="17"/>
  <c r="J125" i="17"/>
  <c r="J124" i="17"/>
  <c r="J126" i="17"/>
  <c r="I126" i="17"/>
  <c r="I125" i="17"/>
  <c r="I124" i="17"/>
  <c r="AM16" i="17" l="1"/>
  <c r="AS15" i="17"/>
  <c r="AR15" i="17"/>
  <c r="AQ15" i="17"/>
  <c r="AP15" i="17"/>
  <c r="AO15" i="17"/>
  <c r="AN15" i="17"/>
  <c r="AS14" i="17"/>
  <c r="AR14" i="17"/>
  <c r="AQ14" i="17"/>
  <c r="AO14" i="17"/>
  <c r="AN14" i="17"/>
  <c r="AK13" i="17"/>
  <c r="AH13" i="17"/>
  <c r="AG13" i="17"/>
  <c r="AF13" i="17"/>
  <c r="AE13" i="17"/>
  <c r="AK3" i="17"/>
  <c r="AH3" i="17"/>
  <c r="AG3" i="17"/>
  <c r="T1048" i="17"/>
  <c r="S1048" i="17"/>
  <c r="R1048" i="17"/>
  <c r="Q1048" i="17"/>
  <c r="T1046" i="17"/>
  <c r="S1046" i="17"/>
  <c r="R1046" i="17"/>
  <c r="Q1046" i="17"/>
  <c r="T1045" i="17"/>
  <c r="S1045" i="17"/>
  <c r="R1045" i="17"/>
  <c r="Q1045" i="17"/>
  <c r="T1044" i="17"/>
  <c r="S1044" i="17"/>
  <c r="R1044" i="17"/>
  <c r="Q1044" i="17"/>
  <c r="T1043" i="17"/>
  <c r="S1043" i="17"/>
  <c r="R1043" i="17"/>
  <c r="Q1043" i="17"/>
  <c r="T1042" i="17"/>
  <c r="S1042" i="17"/>
  <c r="R1042" i="17"/>
  <c r="Q1042" i="17"/>
  <c r="T1041" i="17"/>
  <c r="S1041" i="17"/>
  <c r="R1041" i="17"/>
  <c r="Q1041" i="17"/>
  <c r="T1040" i="17"/>
  <c r="S1040" i="17"/>
  <c r="R1040" i="17"/>
  <c r="Q1040" i="17"/>
  <c r="T1038" i="17"/>
  <c r="S1038" i="17"/>
  <c r="R1038" i="17"/>
  <c r="Q1038" i="17"/>
  <c r="T1037" i="17"/>
  <c r="S1037" i="17"/>
  <c r="R1037" i="17"/>
  <c r="Q1037" i="17"/>
  <c r="T1036" i="17"/>
  <c r="S1036" i="17"/>
  <c r="R1036" i="17"/>
  <c r="Q1036" i="17"/>
  <c r="T1035" i="17"/>
  <c r="S1035" i="17"/>
  <c r="R1035" i="17"/>
  <c r="Q1035" i="17"/>
  <c r="T1034" i="17"/>
  <c r="S1034" i="17"/>
  <c r="R1034" i="17"/>
  <c r="Q1034" i="17"/>
  <c r="T1033" i="17"/>
  <c r="S1033" i="17"/>
  <c r="R1033" i="17"/>
  <c r="Q1033" i="17"/>
  <c r="T1032" i="17"/>
  <c r="S1032" i="17"/>
  <c r="R1032" i="17"/>
  <c r="Q1032" i="17"/>
  <c r="T1031" i="17"/>
  <c r="S1031" i="17"/>
  <c r="R1031" i="17"/>
  <c r="Q1031" i="17"/>
  <c r="T1030" i="17"/>
  <c r="S1030" i="17"/>
  <c r="R1030" i="17"/>
  <c r="Q1030" i="17"/>
  <c r="T1029" i="17"/>
  <c r="S1029" i="17"/>
  <c r="R1029" i="17"/>
  <c r="Q1029" i="17"/>
  <c r="T1028" i="17"/>
  <c r="S1028" i="17"/>
  <c r="R1028" i="17"/>
  <c r="Q1028" i="17"/>
  <c r="T1027" i="17"/>
  <c r="S1027" i="17"/>
  <c r="R1027" i="17"/>
  <c r="Q1027" i="17"/>
  <c r="T1026" i="17"/>
  <c r="S1026" i="17"/>
  <c r="R1026" i="17"/>
  <c r="Q1026" i="17"/>
  <c r="T1025" i="17"/>
  <c r="S1025" i="17"/>
  <c r="R1025" i="17"/>
  <c r="Q1025" i="17"/>
  <c r="T1024" i="17"/>
  <c r="S1024" i="17"/>
  <c r="R1024" i="17"/>
  <c r="Q1024" i="17"/>
  <c r="T1023" i="17"/>
  <c r="S1023" i="17"/>
  <c r="R1023" i="17"/>
  <c r="Q1023" i="17"/>
  <c r="T1021" i="17"/>
  <c r="S1021" i="17"/>
  <c r="R1021" i="17"/>
  <c r="Q1021" i="17"/>
  <c r="T1020" i="17"/>
  <c r="S1020" i="17"/>
  <c r="R1020" i="17"/>
  <c r="Q1020" i="17"/>
  <c r="T1019" i="17"/>
  <c r="S1019" i="17"/>
  <c r="R1019" i="17"/>
  <c r="Q1019" i="17"/>
  <c r="T1018" i="17"/>
  <c r="S1018" i="17"/>
  <c r="R1018" i="17"/>
  <c r="Q1018" i="17"/>
  <c r="T1017" i="17"/>
  <c r="S1017" i="17"/>
  <c r="R1017" i="17"/>
  <c r="Q1017" i="17"/>
  <c r="T1016" i="17"/>
  <c r="S1016" i="17"/>
  <c r="R1016" i="17"/>
  <c r="Q1016" i="17"/>
  <c r="T1015" i="17"/>
  <c r="S1015" i="17"/>
  <c r="R1015" i="17"/>
  <c r="Q1015" i="17"/>
  <c r="T1014" i="17"/>
  <c r="S1014" i="17"/>
  <c r="R1014" i="17"/>
  <c r="Q1014" i="17"/>
  <c r="T1013" i="17"/>
  <c r="S1013" i="17"/>
  <c r="R1013" i="17"/>
  <c r="Q1013" i="17"/>
  <c r="T1012" i="17"/>
  <c r="S1012" i="17"/>
  <c r="R1012" i="17"/>
  <c r="Q1012" i="17"/>
  <c r="T1011" i="17"/>
  <c r="S1011" i="17"/>
  <c r="R1011" i="17"/>
  <c r="Q1011" i="17"/>
  <c r="T1010" i="17"/>
  <c r="S1010" i="17"/>
  <c r="R1010" i="17"/>
  <c r="Q1010" i="17"/>
  <c r="T1009" i="17"/>
  <c r="S1009" i="17"/>
  <c r="R1009" i="17"/>
  <c r="Q1009" i="17"/>
  <c r="T1008" i="17"/>
  <c r="S1008" i="17"/>
  <c r="R1008" i="17"/>
  <c r="Q1008" i="17"/>
  <c r="T1007" i="17"/>
  <c r="S1007" i="17"/>
  <c r="R1007" i="17"/>
  <c r="Q1007" i="17"/>
  <c r="T1006" i="17"/>
  <c r="S1006" i="17"/>
  <c r="R1006" i="17"/>
  <c r="Q1006" i="17"/>
  <c r="T1005" i="17"/>
  <c r="S1005" i="17"/>
  <c r="R1005" i="17"/>
  <c r="Q1005" i="17"/>
  <c r="T1004" i="17"/>
  <c r="S1004" i="17"/>
  <c r="R1004" i="17"/>
  <c r="Q1004" i="17"/>
  <c r="T1003" i="17"/>
  <c r="S1003" i="17"/>
  <c r="R1003" i="17"/>
  <c r="Q1003" i="17"/>
  <c r="T1002" i="17"/>
  <c r="S1002" i="17"/>
  <c r="R1002" i="17"/>
  <c r="Q1002" i="17"/>
  <c r="T1001" i="17"/>
  <c r="S1001" i="17"/>
  <c r="R1001" i="17"/>
  <c r="Q1001" i="17"/>
  <c r="T1000" i="17"/>
  <c r="S1000" i="17"/>
  <c r="R1000" i="17"/>
  <c r="Q1000" i="17"/>
  <c r="T999" i="17"/>
  <c r="S999" i="17"/>
  <c r="R999" i="17"/>
  <c r="Q999" i="17"/>
  <c r="T998" i="17"/>
  <c r="S998" i="17"/>
  <c r="R998" i="17"/>
  <c r="Q998" i="17"/>
  <c r="T997" i="17"/>
  <c r="S997" i="17"/>
  <c r="R997" i="17"/>
  <c r="Q997" i="17"/>
  <c r="T996" i="17"/>
  <c r="S996" i="17"/>
  <c r="R996" i="17"/>
  <c r="Q996" i="17"/>
  <c r="T995" i="17"/>
  <c r="S995" i="17"/>
  <c r="R995" i="17"/>
  <c r="Q995" i="17"/>
  <c r="T994" i="17"/>
  <c r="S994" i="17"/>
  <c r="R994" i="17"/>
  <c r="Q994" i="17"/>
  <c r="T993" i="17"/>
  <c r="S993" i="17"/>
  <c r="R993" i="17"/>
  <c r="Q993" i="17"/>
  <c r="T992" i="17"/>
  <c r="S992" i="17"/>
  <c r="R992" i="17"/>
  <c r="Q992" i="17"/>
  <c r="T991" i="17"/>
  <c r="S991" i="17"/>
  <c r="R991" i="17"/>
  <c r="Q991" i="17"/>
  <c r="T990" i="17"/>
  <c r="S990" i="17"/>
  <c r="R990" i="17"/>
  <c r="Q990" i="17"/>
  <c r="T989" i="17"/>
  <c r="S989" i="17"/>
  <c r="R989" i="17"/>
  <c r="Q989" i="17"/>
  <c r="T988" i="17"/>
  <c r="S988" i="17"/>
  <c r="R988" i="17"/>
  <c r="Q988" i="17"/>
  <c r="T987" i="17"/>
  <c r="S987" i="17"/>
  <c r="R987" i="17"/>
  <c r="Q987" i="17"/>
  <c r="T986" i="17"/>
  <c r="S986" i="17"/>
  <c r="R986" i="17"/>
  <c r="Q986" i="17"/>
  <c r="T985" i="17"/>
  <c r="S985" i="17"/>
  <c r="R985" i="17"/>
  <c r="Q985" i="17"/>
  <c r="T984" i="17"/>
  <c r="S984" i="17"/>
  <c r="R984" i="17"/>
  <c r="Q984" i="17"/>
  <c r="T983" i="17"/>
  <c r="S983" i="17"/>
  <c r="R983" i="17"/>
  <c r="Q983" i="17"/>
  <c r="T982" i="17"/>
  <c r="S982" i="17"/>
  <c r="R982" i="17"/>
  <c r="Q982" i="17"/>
  <c r="T981" i="17"/>
  <c r="S981" i="17"/>
  <c r="R981" i="17"/>
  <c r="Q981" i="17"/>
  <c r="T980" i="17"/>
  <c r="S980" i="17"/>
  <c r="R980" i="17"/>
  <c r="Q980" i="17"/>
  <c r="T979" i="17"/>
  <c r="S979" i="17"/>
  <c r="R979" i="17"/>
  <c r="Q979" i="17"/>
  <c r="T978" i="17"/>
  <c r="S978" i="17"/>
  <c r="R978" i="17"/>
  <c r="Q978" i="17"/>
  <c r="T977" i="17"/>
  <c r="S977" i="17"/>
  <c r="R977" i="17"/>
  <c r="Q977" i="17"/>
  <c r="T976" i="17"/>
  <c r="S976" i="17"/>
  <c r="R976" i="17"/>
  <c r="Q976" i="17"/>
  <c r="T975" i="17"/>
  <c r="S975" i="17"/>
  <c r="R975" i="17"/>
  <c r="Q975" i="17"/>
  <c r="T974" i="17"/>
  <c r="S974" i="17"/>
  <c r="R974" i="17"/>
  <c r="Q974" i="17"/>
  <c r="T973" i="17"/>
  <c r="S973" i="17"/>
  <c r="R973" i="17"/>
  <c r="Q973" i="17"/>
  <c r="T972" i="17"/>
  <c r="S972" i="17"/>
  <c r="R972" i="17"/>
  <c r="Q972" i="17"/>
  <c r="T971" i="17"/>
  <c r="S971" i="17"/>
  <c r="R971" i="17"/>
  <c r="Q971" i="17"/>
  <c r="T970" i="17"/>
  <c r="S970" i="17"/>
  <c r="R970" i="17"/>
  <c r="Q970" i="17"/>
  <c r="T969" i="17"/>
  <c r="S969" i="17"/>
  <c r="R969" i="17"/>
  <c r="Q969" i="17"/>
  <c r="T968" i="17"/>
  <c r="S968" i="17"/>
  <c r="R968" i="17"/>
  <c r="Q968" i="17"/>
  <c r="T967" i="17"/>
  <c r="S967" i="17"/>
  <c r="R967" i="17"/>
  <c r="Q967" i="17"/>
  <c r="T966" i="17"/>
  <c r="S966" i="17"/>
  <c r="R966" i="17"/>
  <c r="Q966" i="17"/>
  <c r="T965" i="17"/>
  <c r="S965" i="17"/>
  <c r="R965" i="17"/>
  <c r="Q965" i="17"/>
  <c r="T964" i="17"/>
  <c r="S964" i="17"/>
  <c r="R964" i="17"/>
  <c r="Q964" i="17"/>
  <c r="T963" i="17"/>
  <c r="S963" i="17"/>
  <c r="R963" i="17"/>
  <c r="Q963" i="17"/>
  <c r="T961" i="17"/>
  <c r="S961" i="17"/>
  <c r="R961" i="17"/>
  <c r="Q961" i="17"/>
  <c r="T960" i="17"/>
  <c r="S960" i="17"/>
  <c r="R960" i="17"/>
  <c r="Q960" i="17"/>
  <c r="T959" i="17"/>
  <c r="S959" i="17"/>
  <c r="R959" i="17"/>
  <c r="Q959" i="17"/>
  <c r="T958" i="17"/>
  <c r="S958" i="17"/>
  <c r="R958" i="17"/>
  <c r="Q958" i="17"/>
  <c r="T957" i="17"/>
  <c r="S957" i="17"/>
  <c r="R957" i="17"/>
  <c r="Q957" i="17"/>
  <c r="T956" i="17"/>
  <c r="S956" i="17"/>
  <c r="R956" i="17"/>
  <c r="Q956" i="17"/>
  <c r="T955" i="17"/>
  <c r="S955" i="17"/>
  <c r="R955" i="17"/>
  <c r="Q955" i="17"/>
  <c r="T954" i="17"/>
  <c r="S954" i="17"/>
  <c r="R954" i="17"/>
  <c r="Q954" i="17"/>
  <c r="T953" i="17"/>
  <c r="S953" i="17"/>
  <c r="R953" i="17"/>
  <c r="Q953" i="17"/>
  <c r="T952" i="17"/>
  <c r="S952" i="17"/>
  <c r="R952" i="17"/>
  <c r="Q952" i="17"/>
  <c r="T951" i="17"/>
  <c r="S951" i="17"/>
  <c r="R951" i="17"/>
  <c r="Q951" i="17"/>
  <c r="T950" i="17"/>
  <c r="S950" i="17"/>
  <c r="R950" i="17"/>
  <c r="Q950" i="17"/>
  <c r="T949" i="17"/>
  <c r="S949" i="17"/>
  <c r="R949" i="17"/>
  <c r="Q949" i="17"/>
  <c r="T948" i="17"/>
  <c r="S948" i="17"/>
  <c r="R948" i="17"/>
  <c r="Q948" i="17"/>
  <c r="T947" i="17"/>
  <c r="S947" i="17"/>
  <c r="R947" i="17"/>
  <c r="Q947" i="17"/>
  <c r="T946" i="17"/>
  <c r="S946" i="17"/>
  <c r="R946" i="17"/>
  <c r="Q946" i="17"/>
  <c r="T945" i="17"/>
  <c r="S945" i="17"/>
  <c r="R945" i="17"/>
  <c r="Q945" i="17"/>
  <c r="T944" i="17"/>
  <c r="S944" i="17"/>
  <c r="R944" i="17"/>
  <c r="Q944" i="17"/>
  <c r="T943" i="17"/>
  <c r="S943" i="17"/>
  <c r="R943" i="17"/>
  <c r="Q943" i="17"/>
  <c r="T942" i="17"/>
  <c r="S942" i="17"/>
  <c r="R942" i="17"/>
  <c r="Q942" i="17"/>
  <c r="T941" i="17"/>
  <c r="S941" i="17"/>
  <c r="R941" i="17"/>
  <c r="Q941" i="17"/>
  <c r="T940" i="17"/>
  <c r="S940" i="17"/>
  <c r="R940" i="17"/>
  <c r="Q940" i="17"/>
  <c r="T939" i="17"/>
  <c r="S939" i="17"/>
  <c r="R939" i="17"/>
  <c r="Q939" i="17"/>
  <c r="T938" i="17"/>
  <c r="S938" i="17"/>
  <c r="R938" i="17"/>
  <c r="Q938" i="17"/>
  <c r="T937" i="17"/>
  <c r="S937" i="17"/>
  <c r="R937" i="17"/>
  <c r="Q937" i="17"/>
  <c r="T936" i="17"/>
  <c r="S936" i="17"/>
  <c r="R936" i="17"/>
  <c r="Q936" i="17"/>
  <c r="T935" i="17"/>
  <c r="S935" i="17"/>
  <c r="R935" i="17"/>
  <c r="Q935" i="17"/>
  <c r="T934" i="17"/>
  <c r="S934" i="17"/>
  <c r="R934" i="17"/>
  <c r="Q934" i="17"/>
  <c r="T933" i="17"/>
  <c r="S933" i="17"/>
  <c r="R933" i="17"/>
  <c r="Q933" i="17"/>
  <c r="T932" i="17"/>
  <c r="S932" i="17"/>
  <c r="R932" i="17"/>
  <c r="Q932" i="17"/>
  <c r="T931" i="17"/>
  <c r="S931" i="17"/>
  <c r="R931" i="17"/>
  <c r="Q931" i="17"/>
  <c r="T930" i="17"/>
  <c r="S930" i="17"/>
  <c r="R930" i="17"/>
  <c r="Q930" i="17"/>
  <c r="T929" i="17"/>
  <c r="S929" i="17"/>
  <c r="R929" i="17"/>
  <c r="Q929" i="17"/>
  <c r="T928" i="17"/>
  <c r="S928" i="17"/>
  <c r="R928" i="17"/>
  <c r="Q928" i="17"/>
  <c r="T927" i="17"/>
  <c r="S927" i="17"/>
  <c r="R927" i="17"/>
  <c r="Q927" i="17"/>
  <c r="T926" i="17"/>
  <c r="S926" i="17"/>
  <c r="R926" i="17"/>
  <c r="Q926" i="17"/>
  <c r="T925" i="17"/>
  <c r="S925" i="17"/>
  <c r="R925" i="17"/>
  <c r="Q925" i="17"/>
  <c r="T924" i="17"/>
  <c r="S924" i="17"/>
  <c r="R924" i="17"/>
  <c r="Q924" i="17"/>
  <c r="T923" i="17"/>
  <c r="S923" i="17"/>
  <c r="R923" i="17"/>
  <c r="Q923" i="17"/>
  <c r="T922" i="17"/>
  <c r="S922" i="17"/>
  <c r="R922" i="17"/>
  <c r="Q922" i="17"/>
  <c r="T921" i="17"/>
  <c r="S921" i="17"/>
  <c r="R921" i="17"/>
  <c r="Q921" i="17"/>
  <c r="T920" i="17"/>
  <c r="S920" i="17"/>
  <c r="R920" i="17"/>
  <c r="Q920" i="17"/>
  <c r="T919" i="17"/>
  <c r="S919" i="17"/>
  <c r="R919" i="17"/>
  <c r="Q919" i="17"/>
  <c r="T918" i="17"/>
  <c r="S918" i="17"/>
  <c r="R918" i="17"/>
  <c r="Q918" i="17"/>
  <c r="T917" i="17"/>
  <c r="S917" i="17"/>
  <c r="R917" i="17"/>
  <c r="Q917" i="17"/>
  <c r="T916" i="17"/>
  <c r="S916" i="17"/>
  <c r="R916" i="17"/>
  <c r="Q916" i="17"/>
  <c r="T915" i="17"/>
  <c r="S915" i="17"/>
  <c r="R915" i="17"/>
  <c r="Q915" i="17"/>
  <c r="T914" i="17"/>
  <c r="S914" i="17"/>
  <c r="R914" i="17"/>
  <c r="Q914" i="17"/>
  <c r="T913" i="17"/>
  <c r="S913" i="17"/>
  <c r="R913" i="17"/>
  <c r="Q913" i="17"/>
  <c r="T912" i="17"/>
  <c r="S912" i="17"/>
  <c r="R912" i="17"/>
  <c r="Q912" i="17"/>
  <c r="T911" i="17"/>
  <c r="S911" i="17"/>
  <c r="R911" i="17"/>
  <c r="Q911" i="17"/>
  <c r="T910" i="17"/>
  <c r="S910" i="17"/>
  <c r="R910" i="17"/>
  <c r="Q910" i="17"/>
  <c r="T909" i="17"/>
  <c r="S909" i="17"/>
  <c r="R909" i="17"/>
  <c r="Q909" i="17"/>
  <c r="T908" i="17"/>
  <c r="S908" i="17"/>
  <c r="R908" i="17"/>
  <c r="Q908" i="17"/>
  <c r="T907" i="17"/>
  <c r="S907" i="17"/>
  <c r="R907" i="17"/>
  <c r="Q907" i="17"/>
  <c r="T906" i="17"/>
  <c r="S906" i="17"/>
  <c r="R906" i="17"/>
  <c r="Q906" i="17"/>
  <c r="T905" i="17"/>
  <c r="S905" i="17"/>
  <c r="R905" i="17"/>
  <c r="Q905" i="17"/>
  <c r="T904" i="17"/>
  <c r="S904" i="17"/>
  <c r="R904" i="17"/>
  <c r="Q904" i="17"/>
  <c r="T903" i="17"/>
  <c r="S903" i="17"/>
  <c r="R903" i="17"/>
  <c r="Q903" i="17"/>
  <c r="T902" i="17"/>
  <c r="S902" i="17"/>
  <c r="R902" i="17"/>
  <c r="Q902" i="17"/>
  <c r="T901" i="17"/>
  <c r="S901" i="17"/>
  <c r="R901" i="17"/>
  <c r="Q901" i="17"/>
  <c r="T900" i="17"/>
  <c r="S900" i="17"/>
  <c r="R900" i="17"/>
  <c r="Q900" i="17"/>
  <c r="T899" i="17"/>
  <c r="S899" i="17"/>
  <c r="R899" i="17"/>
  <c r="Q899" i="17"/>
  <c r="T898" i="17"/>
  <c r="S898" i="17"/>
  <c r="R898" i="17"/>
  <c r="Q898" i="17"/>
  <c r="T897" i="17"/>
  <c r="S897" i="17"/>
  <c r="R897" i="17"/>
  <c r="Q897" i="17"/>
  <c r="T896" i="17"/>
  <c r="S896" i="17"/>
  <c r="R896" i="17"/>
  <c r="Q896" i="17"/>
  <c r="T895" i="17"/>
  <c r="S895" i="17"/>
  <c r="R895" i="17"/>
  <c r="Q895" i="17"/>
  <c r="T894" i="17"/>
  <c r="S894" i="17"/>
  <c r="R894" i="17"/>
  <c r="Q894" i="17"/>
  <c r="T893" i="17"/>
  <c r="S893" i="17"/>
  <c r="R893" i="17"/>
  <c r="Q893" i="17"/>
  <c r="T892" i="17"/>
  <c r="S892" i="17"/>
  <c r="R892" i="17"/>
  <c r="Q892" i="17"/>
  <c r="T890" i="17"/>
  <c r="S890" i="17"/>
  <c r="R890" i="17"/>
  <c r="Q890" i="17"/>
  <c r="T889" i="17"/>
  <c r="S889" i="17"/>
  <c r="R889" i="17"/>
  <c r="Q889" i="17"/>
  <c r="T888" i="17"/>
  <c r="S888" i="17"/>
  <c r="R888" i="17"/>
  <c r="Q888" i="17"/>
  <c r="T887" i="17"/>
  <c r="S887" i="17"/>
  <c r="R887" i="17"/>
  <c r="Q887" i="17"/>
  <c r="T886" i="17"/>
  <c r="S886" i="17"/>
  <c r="R886" i="17"/>
  <c r="Q886" i="17"/>
  <c r="T885" i="17"/>
  <c r="S885" i="17"/>
  <c r="R885" i="17"/>
  <c r="Q885" i="17"/>
  <c r="T884" i="17"/>
  <c r="S884" i="17"/>
  <c r="R884" i="17"/>
  <c r="Q884" i="17"/>
  <c r="T883" i="17"/>
  <c r="S883" i="17"/>
  <c r="R883" i="17"/>
  <c r="Q883" i="17"/>
  <c r="T882" i="17"/>
  <c r="S882" i="17"/>
  <c r="R882" i="17"/>
  <c r="Q882" i="17"/>
  <c r="T881" i="17"/>
  <c r="S881" i="17"/>
  <c r="R881" i="17"/>
  <c r="Q881" i="17"/>
  <c r="T880" i="17"/>
  <c r="S880" i="17"/>
  <c r="R880" i="17"/>
  <c r="Q880" i="17"/>
  <c r="T879" i="17"/>
  <c r="S879" i="17"/>
  <c r="R879" i="17"/>
  <c r="Q879" i="17"/>
  <c r="T878" i="17"/>
  <c r="S878" i="17"/>
  <c r="R878" i="17"/>
  <c r="Q878" i="17"/>
  <c r="T877" i="17"/>
  <c r="S877" i="17"/>
  <c r="R877" i="17"/>
  <c r="Q877" i="17"/>
  <c r="T876" i="17"/>
  <c r="S876" i="17"/>
  <c r="R876" i="17"/>
  <c r="Q876" i="17"/>
  <c r="T875" i="17"/>
  <c r="S875" i="17"/>
  <c r="R875" i="17"/>
  <c r="Q875" i="17"/>
  <c r="T874" i="17"/>
  <c r="S874" i="17"/>
  <c r="R874" i="17"/>
  <c r="Q874" i="17"/>
  <c r="T873" i="17"/>
  <c r="S873" i="17"/>
  <c r="R873" i="17"/>
  <c r="Q873" i="17"/>
  <c r="T872" i="17"/>
  <c r="S872" i="17"/>
  <c r="R872" i="17"/>
  <c r="Q872" i="17"/>
  <c r="T870" i="17"/>
  <c r="S870" i="17"/>
  <c r="R870" i="17"/>
  <c r="Q870" i="17"/>
  <c r="T869" i="17"/>
  <c r="S869" i="17"/>
  <c r="R869" i="17"/>
  <c r="Q869" i="17"/>
  <c r="T867" i="17"/>
  <c r="S867" i="17"/>
  <c r="R867" i="17"/>
  <c r="Q867" i="17"/>
  <c r="T866" i="17"/>
  <c r="S866" i="17"/>
  <c r="R866" i="17"/>
  <c r="Q866" i="17"/>
  <c r="T864" i="17"/>
  <c r="S864" i="17"/>
  <c r="R864" i="17"/>
  <c r="Q864" i="17"/>
  <c r="T863" i="17"/>
  <c r="S863" i="17"/>
  <c r="R863" i="17"/>
  <c r="Q863" i="17"/>
  <c r="T862" i="17"/>
  <c r="S862" i="17"/>
  <c r="R862" i="17"/>
  <c r="Q862" i="17"/>
  <c r="T861" i="17"/>
  <c r="S861" i="17"/>
  <c r="R861" i="17"/>
  <c r="Q861" i="17"/>
  <c r="T859" i="17"/>
  <c r="S859" i="17"/>
  <c r="R859" i="17"/>
  <c r="Q859" i="17"/>
  <c r="T858" i="17"/>
  <c r="S858" i="17"/>
  <c r="R858" i="17"/>
  <c r="Q858" i="17"/>
  <c r="T856" i="17"/>
  <c r="S856" i="17"/>
  <c r="R856" i="17"/>
  <c r="Q856" i="17"/>
  <c r="T855" i="17"/>
  <c r="S855" i="17"/>
  <c r="R855" i="17"/>
  <c r="Q855" i="17"/>
  <c r="T854" i="17"/>
  <c r="S854" i="17"/>
  <c r="R854" i="17"/>
  <c r="Q854" i="17"/>
  <c r="T853" i="17"/>
  <c r="S853" i="17"/>
  <c r="R853" i="17"/>
  <c r="Q853" i="17"/>
  <c r="T852" i="17"/>
  <c r="S852" i="17"/>
  <c r="R852" i="17"/>
  <c r="Q852" i="17"/>
  <c r="T851" i="17"/>
  <c r="S851" i="17"/>
  <c r="R851" i="17"/>
  <c r="Q851" i="17"/>
  <c r="T850" i="17"/>
  <c r="S850" i="17"/>
  <c r="R850" i="17"/>
  <c r="Q850" i="17"/>
  <c r="T849" i="17"/>
  <c r="S849" i="17"/>
  <c r="R849" i="17"/>
  <c r="Q849" i="17"/>
  <c r="T848" i="17"/>
  <c r="S848" i="17"/>
  <c r="R848" i="17"/>
  <c r="Q848" i="17"/>
  <c r="T847" i="17"/>
  <c r="S847" i="17"/>
  <c r="R847" i="17"/>
  <c r="Q847" i="17"/>
  <c r="T846" i="17"/>
  <c r="S846" i="17"/>
  <c r="R846" i="17"/>
  <c r="Q846" i="17"/>
  <c r="T845" i="17"/>
  <c r="S845" i="17"/>
  <c r="R845" i="17"/>
  <c r="Q845" i="17"/>
  <c r="T844" i="17"/>
  <c r="S844" i="17"/>
  <c r="R844" i="17"/>
  <c r="Q844" i="17"/>
  <c r="T843" i="17"/>
  <c r="S843" i="17"/>
  <c r="R843" i="17"/>
  <c r="Q843" i="17"/>
  <c r="T842" i="17"/>
  <c r="S842" i="17"/>
  <c r="R842" i="17"/>
  <c r="Q842" i="17"/>
  <c r="T841" i="17"/>
  <c r="S841" i="17"/>
  <c r="R841" i="17"/>
  <c r="Q841" i="17"/>
  <c r="T840" i="17"/>
  <c r="S840" i="17"/>
  <c r="R840" i="17"/>
  <c r="Q840" i="17"/>
  <c r="U841" i="17"/>
  <c r="U842" i="17"/>
  <c r="U843" i="17"/>
  <c r="U844" i="17"/>
  <c r="U845" i="17"/>
  <c r="U846" i="17"/>
  <c r="U847" i="17"/>
  <c r="U848" i="17"/>
  <c r="U849" i="17"/>
  <c r="U850" i="17"/>
  <c r="U851" i="17"/>
  <c r="U852" i="17"/>
  <c r="U853" i="17"/>
  <c r="U854" i="17"/>
  <c r="U855" i="17"/>
  <c r="U856" i="17"/>
  <c r="U858" i="17"/>
  <c r="U859" i="17"/>
  <c r="U861" i="17"/>
  <c r="U862" i="17"/>
  <c r="U863" i="17"/>
  <c r="U864" i="17"/>
  <c r="U866" i="17"/>
  <c r="U867" i="17"/>
  <c r="U869" i="17"/>
  <c r="U870" i="17"/>
  <c r="U872" i="17"/>
  <c r="U873" i="17"/>
  <c r="U874" i="17"/>
  <c r="U875" i="17"/>
  <c r="U876" i="17"/>
  <c r="U877" i="17"/>
  <c r="U878" i="17"/>
  <c r="U879" i="17"/>
  <c r="U880" i="17"/>
  <c r="U881" i="17"/>
  <c r="U882" i="17"/>
  <c r="U883" i="17"/>
  <c r="U884" i="17"/>
  <c r="U885" i="17"/>
  <c r="U886" i="17"/>
  <c r="U887" i="17"/>
  <c r="U888" i="17"/>
  <c r="U889" i="17"/>
  <c r="U890" i="17"/>
  <c r="U892" i="17"/>
  <c r="U893" i="17"/>
  <c r="U894" i="17"/>
  <c r="U895" i="17"/>
  <c r="U896" i="17"/>
  <c r="U897" i="17"/>
  <c r="U898" i="17"/>
  <c r="U899" i="17"/>
  <c r="U900" i="17"/>
  <c r="U901" i="17"/>
  <c r="U902" i="17"/>
  <c r="U903" i="17"/>
  <c r="U904" i="17"/>
  <c r="U905" i="17"/>
  <c r="U906" i="17"/>
  <c r="U907" i="17"/>
  <c r="U908" i="17"/>
  <c r="U909" i="17"/>
  <c r="U910" i="17"/>
  <c r="U911" i="17"/>
  <c r="U912" i="17"/>
  <c r="U913" i="17"/>
  <c r="U914" i="17"/>
  <c r="U915" i="17"/>
  <c r="U916" i="17"/>
  <c r="U917" i="17"/>
  <c r="U918" i="17"/>
  <c r="U919" i="17"/>
  <c r="U920" i="17"/>
  <c r="U921" i="17"/>
  <c r="U922" i="17"/>
  <c r="U923" i="17"/>
  <c r="U924" i="17"/>
  <c r="U925" i="17"/>
  <c r="U926" i="17"/>
  <c r="U927" i="17"/>
  <c r="U928" i="17"/>
  <c r="U929" i="17"/>
  <c r="U930" i="17"/>
  <c r="U931" i="17"/>
  <c r="U932" i="17"/>
  <c r="U933" i="17"/>
  <c r="U934" i="17"/>
  <c r="U935" i="17"/>
  <c r="U936" i="17"/>
  <c r="U937" i="17"/>
  <c r="U938" i="17"/>
  <c r="U939" i="17"/>
  <c r="U940" i="17"/>
  <c r="U941" i="17"/>
  <c r="U942" i="17"/>
  <c r="U943" i="17"/>
  <c r="U944" i="17"/>
  <c r="U945" i="17"/>
  <c r="U946" i="17"/>
  <c r="U947" i="17"/>
  <c r="U948" i="17"/>
  <c r="U949" i="17"/>
  <c r="U950" i="17"/>
  <c r="U951" i="17"/>
  <c r="U952" i="17"/>
  <c r="U953" i="17"/>
  <c r="U954" i="17"/>
  <c r="U955" i="17"/>
  <c r="U956" i="17"/>
  <c r="U957" i="17"/>
  <c r="U958" i="17"/>
  <c r="U959" i="17"/>
  <c r="U960" i="17"/>
  <c r="U961" i="17"/>
  <c r="U963" i="17"/>
  <c r="U964" i="17"/>
  <c r="U965" i="17"/>
  <c r="U966" i="17"/>
  <c r="U967" i="17"/>
  <c r="U968" i="17"/>
  <c r="U969" i="17"/>
  <c r="U970" i="17"/>
  <c r="U971" i="17"/>
  <c r="U972" i="17"/>
  <c r="U973" i="17"/>
  <c r="U974" i="17"/>
  <c r="U975" i="17"/>
  <c r="U976" i="17"/>
  <c r="U977" i="17"/>
  <c r="U978" i="17"/>
  <c r="U979" i="17"/>
  <c r="U980" i="17"/>
  <c r="U981" i="17"/>
  <c r="U982" i="17"/>
  <c r="U983" i="17"/>
  <c r="U984" i="17"/>
  <c r="U985" i="17"/>
  <c r="U986" i="17"/>
  <c r="U987" i="17"/>
  <c r="U988" i="17"/>
  <c r="U989" i="17"/>
  <c r="U990" i="17"/>
  <c r="U991" i="17"/>
  <c r="U992" i="17"/>
  <c r="U993" i="17"/>
  <c r="U994" i="17"/>
  <c r="U995" i="17"/>
  <c r="U996" i="17"/>
  <c r="U997" i="17"/>
  <c r="U998" i="17"/>
  <c r="U999" i="17"/>
  <c r="U1000" i="17"/>
  <c r="U1001" i="17"/>
  <c r="U1002" i="17"/>
  <c r="U1003" i="17"/>
  <c r="U1004" i="17"/>
  <c r="U1005" i="17"/>
  <c r="U1006" i="17"/>
  <c r="U1007" i="17"/>
  <c r="U1008" i="17"/>
  <c r="U1009" i="17"/>
  <c r="U1010" i="17"/>
  <c r="U1011" i="17"/>
  <c r="U1012" i="17"/>
  <c r="U1013" i="17"/>
  <c r="U1014" i="17"/>
  <c r="U1015" i="17"/>
  <c r="U1016" i="17"/>
  <c r="U1017" i="17"/>
  <c r="U1018" i="17"/>
  <c r="U1019" i="17"/>
  <c r="U1020" i="17"/>
  <c r="U1021" i="17"/>
  <c r="U1023" i="17"/>
  <c r="U1024" i="17"/>
  <c r="U1025" i="17"/>
  <c r="U1026" i="17"/>
  <c r="U1027" i="17"/>
  <c r="U1028" i="17"/>
  <c r="U1029" i="17"/>
  <c r="U1030" i="17"/>
  <c r="U1031" i="17"/>
  <c r="U1032" i="17"/>
  <c r="U1033" i="17"/>
  <c r="U1034" i="17"/>
  <c r="U1035" i="17"/>
  <c r="U1036" i="17"/>
  <c r="U1037" i="17"/>
  <c r="U1038" i="17"/>
  <c r="U1040" i="17"/>
  <c r="U1041" i="17"/>
  <c r="U1042" i="17"/>
  <c r="U1043" i="17"/>
  <c r="U1044" i="17"/>
  <c r="U1045" i="17"/>
  <c r="U1046" i="17"/>
  <c r="U1048" i="17"/>
  <c r="U840" i="17"/>
  <c r="U632" i="17"/>
  <c r="U633" i="17"/>
  <c r="U634" i="17"/>
  <c r="U635" i="17"/>
  <c r="U636" i="17"/>
  <c r="U637" i="17"/>
  <c r="U638" i="17"/>
  <c r="U639" i="17"/>
  <c r="U640" i="17"/>
  <c r="U641" i="17"/>
  <c r="U642" i="17"/>
  <c r="U643" i="17"/>
  <c r="U644" i="17"/>
  <c r="U645" i="17"/>
  <c r="U646" i="17"/>
  <c r="U647" i="17"/>
  <c r="U649" i="17"/>
  <c r="U650" i="17"/>
  <c r="U652" i="17"/>
  <c r="U653" i="17"/>
  <c r="U654" i="17"/>
  <c r="U655" i="17"/>
  <c r="U657" i="17"/>
  <c r="U658" i="17"/>
  <c r="U660" i="17"/>
  <c r="U661" i="17"/>
  <c r="U663" i="17"/>
  <c r="U664" i="17"/>
  <c r="U665" i="17"/>
  <c r="U666" i="17"/>
  <c r="U667" i="17"/>
  <c r="U668" i="17"/>
  <c r="U669" i="17"/>
  <c r="U670" i="17"/>
  <c r="U671" i="17"/>
  <c r="U672" i="17"/>
  <c r="U673" i="17"/>
  <c r="U674" i="17"/>
  <c r="U675" i="17"/>
  <c r="U676" i="17"/>
  <c r="U677" i="17"/>
  <c r="U678" i="17"/>
  <c r="U679" i="17"/>
  <c r="U680" i="17"/>
  <c r="U681" i="17"/>
  <c r="U683" i="17"/>
  <c r="U684" i="17"/>
  <c r="U685" i="17"/>
  <c r="U686" i="17"/>
  <c r="U687" i="17"/>
  <c r="U688" i="17"/>
  <c r="U689" i="17"/>
  <c r="U690" i="17"/>
  <c r="U691" i="17"/>
  <c r="U692" i="17"/>
  <c r="U693" i="17"/>
  <c r="U694" i="17"/>
  <c r="U695" i="17"/>
  <c r="U696" i="17"/>
  <c r="U697" i="17"/>
  <c r="U698" i="17"/>
  <c r="U699" i="17"/>
  <c r="U700" i="17"/>
  <c r="U701" i="17"/>
  <c r="U702" i="17"/>
  <c r="U703" i="17"/>
  <c r="U704" i="17"/>
  <c r="U705" i="17"/>
  <c r="U706" i="17"/>
  <c r="U707" i="17"/>
  <c r="U708" i="17"/>
  <c r="U709" i="17"/>
  <c r="U710" i="17"/>
  <c r="U711" i="17"/>
  <c r="U712" i="17"/>
  <c r="U713" i="17"/>
  <c r="U714" i="17"/>
  <c r="U715" i="17"/>
  <c r="U716" i="17"/>
  <c r="U717" i="17"/>
  <c r="U718" i="17"/>
  <c r="U719" i="17"/>
  <c r="U720" i="17"/>
  <c r="U721" i="17"/>
  <c r="U722" i="17"/>
  <c r="U723" i="17"/>
  <c r="U724" i="17"/>
  <c r="U725" i="17"/>
  <c r="U726" i="17"/>
  <c r="U727" i="17"/>
  <c r="U728" i="17"/>
  <c r="U729" i="17"/>
  <c r="U730" i="17"/>
  <c r="U731" i="17"/>
  <c r="U732" i="17"/>
  <c r="U733" i="17"/>
  <c r="U734" i="17"/>
  <c r="U735" i="17"/>
  <c r="U736" i="17"/>
  <c r="U737" i="17"/>
  <c r="U738" i="17"/>
  <c r="U739" i="17"/>
  <c r="U740" i="17"/>
  <c r="U741" i="17"/>
  <c r="U742" i="17"/>
  <c r="U743" i="17"/>
  <c r="U744" i="17"/>
  <c r="U745" i="17"/>
  <c r="U746" i="17"/>
  <c r="U747" i="17"/>
  <c r="U748" i="17"/>
  <c r="U749" i="17"/>
  <c r="U750" i="17"/>
  <c r="U751" i="17"/>
  <c r="U752" i="17"/>
  <c r="U754" i="17"/>
  <c r="U755" i="17"/>
  <c r="U756" i="17"/>
  <c r="U757" i="17"/>
  <c r="U758" i="17"/>
  <c r="U759" i="17"/>
  <c r="U760" i="17"/>
  <c r="U761" i="17"/>
  <c r="U762" i="17"/>
  <c r="U763" i="17"/>
  <c r="U764" i="17"/>
  <c r="U765" i="17"/>
  <c r="U766" i="17"/>
  <c r="U767" i="17"/>
  <c r="U768" i="17"/>
  <c r="U769" i="17"/>
  <c r="U770" i="17"/>
  <c r="U771" i="17"/>
  <c r="U772" i="17"/>
  <c r="U773" i="17"/>
  <c r="U774" i="17"/>
  <c r="U775" i="17"/>
  <c r="U776" i="17"/>
  <c r="U777" i="17"/>
  <c r="U778" i="17"/>
  <c r="U779" i="17"/>
  <c r="U780" i="17"/>
  <c r="U781" i="17"/>
  <c r="U782" i="17"/>
  <c r="U783" i="17"/>
  <c r="U784" i="17"/>
  <c r="U785" i="17"/>
  <c r="U786" i="17"/>
  <c r="U787" i="17"/>
  <c r="U788" i="17"/>
  <c r="U789" i="17"/>
  <c r="U790" i="17"/>
  <c r="U791" i="17"/>
  <c r="U792" i="17"/>
  <c r="U793" i="17"/>
  <c r="U794" i="17"/>
  <c r="U795" i="17"/>
  <c r="U796" i="17"/>
  <c r="U797" i="17"/>
  <c r="U798" i="17"/>
  <c r="U799" i="17"/>
  <c r="U800" i="17"/>
  <c r="U801" i="17"/>
  <c r="U802" i="17"/>
  <c r="U803" i="17"/>
  <c r="U804" i="17"/>
  <c r="U805" i="17"/>
  <c r="U806" i="17"/>
  <c r="U807" i="17"/>
  <c r="U808" i="17"/>
  <c r="U809" i="17"/>
  <c r="U810" i="17"/>
  <c r="U811" i="17"/>
  <c r="U812" i="17"/>
  <c r="U814" i="17"/>
  <c r="U815" i="17"/>
  <c r="U816" i="17"/>
  <c r="U817" i="17"/>
  <c r="U818" i="17"/>
  <c r="U819" i="17"/>
  <c r="U820" i="17"/>
  <c r="U821" i="17"/>
  <c r="U822" i="17"/>
  <c r="U823" i="17"/>
  <c r="U824" i="17"/>
  <c r="U825" i="17"/>
  <c r="U826" i="17"/>
  <c r="U827" i="17"/>
  <c r="U828" i="17"/>
  <c r="U829" i="17"/>
  <c r="U831" i="17"/>
  <c r="U832" i="17"/>
  <c r="U833" i="17"/>
  <c r="U834" i="17"/>
  <c r="U835" i="17"/>
  <c r="U836" i="17"/>
  <c r="U837" i="17"/>
  <c r="U839" i="17"/>
  <c r="U631" i="17"/>
  <c r="U423" i="17"/>
  <c r="U424" i="17"/>
  <c r="U425" i="17"/>
  <c r="U426" i="17"/>
  <c r="U427" i="17"/>
  <c r="U428" i="17"/>
  <c r="U429" i="17"/>
  <c r="U430" i="17"/>
  <c r="U431" i="17"/>
  <c r="U432" i="17"/>
  <c r="U433" i="17"/>
  <c r="U434" i="17"/>
  <c r="U435" i="17"/>
  <c r="U436" i="17"/>
  <c r="U437" i="17"/>
  <c r="U438" i="17"/>
  <c r="U440" i="17"/>
  <c r="U441" i="17"/>
  <c r="U443" i="17"/>
  <c r="U444" i="17"/>
  <c r="U445" i="17"/>
  <c r="U446" i="17"/>
  <c r="U448" i="17"/>
  <c r="U449" i="17"/>
  <c r="U451" i="17"/>
  <c r="U452" i="17"/>
  <c r="U454" i="17"/>
  <c r="U455" i="17"/>
  <c r="U456" i="17"/>
  <c r="U457" i="17"/>
  <c r="U458" i="17"/>
  <c r="U459" i="17"/>
  <c r="U460" i="17"/>
  <c r="U461" i="17"/>
  <c r="U462" i="17"/>
  <c r="U463" i="17"/>
  <c r="U464" i="17"/>
  <c r="U465" i="17"/>
  <c r="U466" i="17"/>
  <c r="U467" i="17"/>
  <c r="U468" i="17"/>
  <c r="U469" i="17"/>
  <c r="U470" i="17"/>
  <c r="U471" i="17"/>
  <c r="U472" i="17"/>
  <c r="U474" i="17"/>
  <c r="U475" i="17"/>
  <c r="U476" i="17"/>
  <c r="U477" i="17"/>
  <c r="U478" i="17"/>
  <c r="U479" i="17"/>
  <c r="U480" i="17"/>
  <c r="U481" i="17"/>
  <c r="U482" i="17"/>
  <c r="U483" i="17"/>
  <c r="U484" i="17"/>
  <c r="U485" i="17"/>
  <c r="U486" i="17"/>
  <c r="U487" i="17"/>
  <c r="U488" i="17"/>
  <c r="U489" i="17"/>
  <c r="U490" i="17"/>
  <c r="U491" i="17"/>
  <c r="U492" i="17"/>
  <c r="U493" i="17"/>
  <c r="U494" i="17"/>
  <c r="U495" i="17"/>
  <c r="U496" i="17"/>
  <c r="U497" i="17"/>
  <c r="U498" i="17"/>
  <c r="U499" i="17"/>
  <c r="U500" i="17"/>
  <c r="U501" i="17"/>
  <c r="U502" i="17"/>
  <c r="U503" i="17"/>
  <c r="U504" i="17"/>
  <c r="U505" i="17"/>
  <c r="U506" i="17"/>
  <c r="U507" i="17"/>
  <c r="U508" i="17"/>
  <c r="U509" i="17"/>
  <c r="U510" i="17"/>
  <c r="U511" i="17"/>
  <c r="U512" i="17"/>
  <c r="U513" i="17"/>
  <c r="U514" i="17"/>
  <c r="U515" i="17"/>
  <c r="U516" i="17"/>
  <c r="U517" i="17"/>
  <c r="U518" i="17"/>
  <c r="U519" i="17"/>
  <c r="U520" i="17"/>
  <c r="U521" i="17"/>
  <c r="U522" i="17"/>
  <c r="U523" i="17"/>
  <c r="U524" i="17"/>
  <c r="U525" i="17"/>
  <c r="U526" i="17"/>
  <c r="U527" i="17"/>
  <c r="U528" i="17"/>
  <c r="U529" i="17"/>
  <c r="U530" i="17"/>
  <c r="U531" i="17"/>
  <c r="U532" i="17"/>
  <c r="U533" i="17"/>
  <c r="U534" i="17"/>
  <c r="U535" i="17"/>
  <c r="U536" i="17"/>
  <c r="U537" i="17"/>
  <c r="U538" i="17"/>
  <c r="U539" i="17"/>
  <c r="U540" i="17"/>
  <c r="U541" i="17"/>
  <c r="U542" i="17"/>
  <c r="U543" i="17"/>
  <c r="U545" i="17"/>
  <c r="U546" i="17"/>
  <c r="U547" i="17"/>
  <c r="U548" i="17"/>
  <c r="U549" i="17"/>
  <c r="U550" i="17"/>
  <c r="U551" i="17"/>
  <c r="U552" i="17"/>
  <c r="U553" i="17"/>
  <c r="U554" i="17"/>
  <c r="U555" i="17"/>
  <c r="U556" i="17"/>
  <c r="U557" i="17"/>
  <c r="U558" i="17"/>
  <c r="U559" i="17"/>
  <c r="U560" i="17"/>
  <c r="U561" i="17"/>
  <c r="U562" i="17"/>
  <c r="U563" i="17"/>
  <c r="U564" i="17"/>
  <c r="U565" i="17"/>
  <c r="U566" i="17"/>
  <c r="U567" i="17"/>
  <c r="U568" i="17"/>
  <c r="U569" i="17"/>
  <c r="U570" i="17"/>
  <c r="U571" i="17"/>
  <c r="U572" i="17"/>
  <c r="U573" i="17"/>
  <c r="U574" i="17"/>
  <c r="U575" i="17"/>
  <c r="U576" i="17"/>
  <c r="U577" i="17"/>
  <c r="U578" i="17"/>
  <c r="U579" i="17"/>
  <c r="U580" i="17"/>
  <c r="U581" i="17"/>
  <c r="U582" i="17"/>
  <c r="U583" i="17"/>
  <c r="U584" i="17"/>
  <c r="U585" i="17"/>
  <c r="U586" i="17"/>
  <c r="U587" i="17"/>
  <c r="U588" i="17"/>
  <c r="U589" i="17"/>
  <c r="U590" i="17"/>
  <c r="U591" i="17"/>
  <c r="U592" i="17"/>
  <c r="U593" i="17"/>
  <c r="U594" i="17"/>
  <c r="U595" i="17"/>
  <c r="U596" i="17"/>
  <c r="U597" i="17"/>
  <c r="U598" i="17"/>
  <c r="U599" i="17"/>
  <c r="U600" i="17"/>
  <c r="U601" i="17"/>
  <c r="U602" i="17"/>
  <c r="U603" i="17"/>
  <c r="U605" i="17"/>
  <c r="U606" i="17"/>
  <c r="U607" i="17"/>
  <c r="U608" i="17"/>
  <c r="U609" i="17"/>
  <c r="U610" i="17"/>
  <c r="U611" i="17"/>
  <c r="U612" i="17"/>
  <c r="U613" i="17"/>
  <c r="U614" i="17"/>
  <c r="U615" i="17"/>
  <c r="U616" i="17"/>
  <c r="U617" i="17"/>
  <c r="U618" i="17"/>
  <c r="U619" i="17"/>
  <c r="U620" i="17"/>
  <c r="U622" i="17"/>
  <c r="U623" i="17"/>
  <c r="U624" i="17"/>
  <c r="U625" i="17"/>
  <c r="U626" i="17"/>
  <c r="U627" i="17"/>
  <c r="U628" i="17"/>
  <c r="U630" i="17"/>
  <c r="U422" i="17"/>
  <c r="U246" i="17"/>
  <c r="U247" i="17"/>
  <c r="U248" i="17"/>
  <c r="U249" i="17"/>
  <c r="U250" i="17"/>
  <c r="U251" i="17"/>
  <c r="U252" i="17"/>
  <c r="U253" i="17"/>
  <c r="U254" i="17"/>
  <c r="U255" i="17"/>
  <c r="U256" i="17"/>
  <c r="U257" i="17"/>
  <c r="U258" i="17"/>
  <c r="U259" i="17"/>
  <c r="U260" i="17"/>
  <c r="U261" i="17"/>
  <c r="U262" i="17"/>
  <c r="U263" i="17"/>
  <c r="U265" i="17"/>
  <c r="U266" i="17"/>
  <c r="U267" i="17"/>
  <c r="U268" i="17"/>
  <c r="U269" i="17"/>
  <c r="U270" i="17"/>
  <c r="U271" i="17"/>
  <c r="U272" i="17"/>
  <c r="U273" i="17"/>
  <c r="U274" i="17"/>
  <c r="U275" i="17"/>
  <c r="U276" i="17"/>
  <c r="U277" i="17"/>
  <c r="U278" i="17"/>
  <c r="U279" i="17"/>
  <c r="U280" i="17"/>
  <c r="U281" i="17"/>
  <c r="U282" i="17"/>
  <c r="U283" i="17"/>
  <c r="U284" i="17"/>
  <c r="U285" i="17"/>
  <c r="U286" i="17"/>
  <c r="U287" i="17"/>
  <c r="U288" i="17"/>
  <c r="U289" i="17"/>
  <c r="U290" i="17"/>
  <c r="U291" i="17"/>
  <c r="U292" i="17"/>
  <c r="U293" i="17"/>
  <c r="U294" i="17"/>
  <c r="U295" i="17"/>
  <c r="U296" i="17"/>
  <c r="U297" i="17"/>
  <c r="U298" i="17"/>
  <c r="U299" i="17"/>
  <c r="U300" i="17"/>
  <c r="U301" i="17"/>
  <c r="U302" i="17"/>
  <c r="U303" i="17"/>
  <c r="U304" i="17"/>
  <c r="U305" i="17"/>
  <c r="U306" i="17"/>
  <c r="U307" i="17"/>
  <c r="U308" i="17"/>
  <c r="U309" i="17"/>
  <c r="U310" i="17"/>
  <c r="U311" i="17"/>
  <c r="U312" i="17"/>
  <c r="U313" i="17"/>
  <c r="U314" i="17"/>
  <c r="U315" i="17"/>
  <c r="U316" i="17"/>
  <c r="U317" i="17"/>
  <c r="U318" i="17"/>
  <c r="U319" i="17"/>
  <c r="U320" i="17"/>
  <c r="U321" i="17"/>
  <c r="U322" i="17"/>
  <c r="U323" i="17"/>
  <c r="U324" i="17"/>
  <c r="U325" i="17"/>
  <c r="U326" i="17"/>
  <c r="U327" i="17"/>
  <c r="U328" i="17"/>
  <c r="U329" i="17"/>
  <c r="U330" i="17"/>
  <c r="U331" i="17"/>
  <c r="U332" i="17"/>
  <c r="U333" i="17"/>
  <c r="U334" i="17"/>
  <c r="U336" i="17"/>
  <c r="U337" i="17"/>
  <c r="U338" i="17"/>
  <c r="U339" i="17"/>
  <c r="U340" i="17"/>
  <c r="U341" i="17"/>
  <c r="U342" i="17"/>
  <c r="U343" i="17"/>
  <c r="U344" i="17"/>
  <c r="U345" i="17"/>
  <c r="U346" i="17"/>
  <c r="U347" i="17"/>
  <c r="U348" i="17"/>
  <c r="U349" i="17"/>
  <c r="U350" i="17"/>
  <c r="U351" i="17"/>
  <c r="U352" i="17"/>
  <c r="U353" i="17"/>
  <c r="U354" i="17"/>
  <c r="U355" i="17"/>
  <c r="U356" i="17"/>
  <c r="U357" i="17"/>
  <c r="U358" i="17"/>
  <c r="U359" i="17"/>
  <c r="U360" i="17"/>
  <c r="U361" i="17"/>
  <c r="U362" i="17"/>
  <c r="U363" i="17"/>
  <c r="U364" i="17"/>
  <c r="U365" i="17"/>
  <c r="U366" i="17"/>
  <c r="U367" i="17"/>
  <c r="U368" i="17"/>
  <c r="U369" i="17"/>
  <c r="U370" i="17"/>
  <c r="U371" i="17"/>
  <c r="U372" i="17"/>
  <c r="U373" i="17"/>
  <c r="U374" i="17"/>
  <c r="U375" i="17"/>
  <c r="U376" i="17"/>
  <c r="U377" i="17"/>
  <c r="U378" i="17"/>
  <c r="U379" i="17"/>
  <c r="U380" i="17"/>
  <c r="U381" i="17"/>
  <c r="U382" i="17"/>
  <c r="U383" i="17"/>
  <c r="U384" i="17"/>
  <c r="U385" i="17"/>
  <c r="U386" i="17"/>
  <c r="U387" i="17"/>
  <c r="U388" i="17"/>
  <c r="U389" i="17"/>
  <c r="U390" i="17"/>
  <c r="U391" i="17"/>
  <c r="U392" i="17"/>
  <c r="U393" i="17"/>
  <c r="U394" i="17"/>
  <c r="U396" i="17"/>
  <c r="U397" i="17"/>
  <c r="U398" i="17"/>
  <c r="U399" i="17"/>
  <c r="U400" i="17"/>
  <c r="U401" i="17"/>
  <c r="U402" i="17"/>
  <c r="U403" i="17"/>
  <c r="U404" i="17"/>
  <c r="U405" i="17"/>
  <c r="U406" i="17"/>
  <c r="U407" i="17"/>
  <c r="U408" i="17"/>
  <c r="U409" i="17"/>
  <c r="U410" i="17"/>
  <c r="U411" i="17"/>
  <c r="U413" i="17"/>
  <c r="U414" i="17"/>
  <c r="U415" i="17"/>
  <c r="U416" i="17"/>
  <c r="U417" i="17"/>
  <c r="U418" i="17"/>
  <c r="U419" i="17"/>
  <c r="U421" i="17"/>
  <c r="U214" i="17"/>
  <c r="U215" i="17"/>
  <c r="U216" i="17"/>
  <c r="U217" i="17"/>
  <c r="U218" i="17"/>
  <c r="U219" i="17"/>
  <c r="U220" i="17"/>
  <c r="U221" i="17"/>
  <c r="U222" i="17"/>
  <c r="U223" i="17"/>
  <c r="U224" i="17"/>
  <c r="U225" i="17"/>
  <c r="U226" i="17"/>
  <c r="U227" i="17"/>
  <c r="U228" i="17"/>
  <c r="U229" i="17"/>
  <c r="U231" i="17"/>
  <c r="U232" i="17"/>
  <c r="U234" i="17"/>
  <c r="U235" i="17"/>
  <c r="U236" i="17"/>
  <c r="U237" i="17"/>
  <c r="U239" i="17"/>
  <c r="U240" i="17"/>
  <c r="U242" i="17"/>
  <c r="U243" i="17"/>
  <c r="U245" i="17"/>
  <c r="U213" i="17"/>
  <c r="U27" i="17"/>
  <c r="U28" i="17"/>
  <c r="U30" i="17"/>
  <c r="U31" i="17"/>
  <c r="U33" i="17"/>
  <c r="U34" i="17"/>
  <c r="U36" i="17"/>
  <c r="U37" i="17"/>
  <c r="U38" i="17"/>
  <c r="U39" i="17"/>
  <c r="U40" i="17"/>
  <c r="U41" i="17"/>
  <c r="U42" i="17"/>
  <c r="U43" i="17"/>
  <c r="U44" i="17"/>
  <c r="U45" i="17"/>
  <c r="U46" i="17"/>
  <c r="U47" i="17"/>
  <c r="U48" i="17"/>
  <c r="U49" i="17"/>
  <c r="U50" i="17"/>
  <c r="U51" i="17"/>
  <c r="U52" i="17"/>
  <c r="U53" i="17"/>
  <c r="U54"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175" i="17"/>
  <c r="U176" i="17"/>
  <c r="U177" i="17"/>
  <c r="U178" i="17"/>
  <c r="U179" i="17"/>
  <c r="U180" i="17"/>
  <c r="U181" i="17"/>
  <c r="U182" i="17"/>
  <c r="U183" i="17"/>
  <c r="U184" i="17"/>
  <c r="U185" i="17"/>
  <c r="U187" i="17"/>
  <c r="U188" i="17"/>
  <c r="U189" i="17"/>
  <c r="U190" i="17"/>
  <c r="U191" i="17"/>
  <c r="U192" i="17"/>
  <c r="U193" i="17"/>
  <c r="U194" i="17"/>
  <c r="U195" i="17"/>
  <c r="U196" i="17"/>
  <c r="U197" i="17"/>
  <c r="U198" i="17"/>
  <c r="U199" i="17"/>
  <c r="U200" i="17"/>
  <c r="U201" i="17"/>
  <c r="U202" i="17"/>
  <c r="U204" i="17"/>
  <c r="U205" i="17"/>
  <c r="U206" i="17"/>
  <c r="U207" i="17"/>
  <c r="U208" i="17"/>
  <c r="U209" i="17"/>
  <c r="U210" i="17"/>
  <c r="U212" i="17"/>
  <c r="U26" i="17"/>
  <c r="U25" i="17"/>
  <c r="U23" i="17"/>
  <c r="U22" i="17"/>
  <c r="U20" i="17"/>
  <c r="U19" i="17"/>
  <c r="U18" i="17"/>
  <c r="U17" i="17"/>
  <c r="U16" i="17"/>
  <c r="U15" i="17"/>
  <c r="U14" i="17"/>
  <c r="U13" i="17"/>
  <c r="U12" i="17"/>
  <c r="U11" i="17"/>
  <c r="U10" i="17"/>
  <c r="U9" i="17"/>
  <c r="U8" i="17"/>
  <c r="U7" i="17"/>
  <c r="U6" i="17"/>
  <c r="U5" i="17"/>
  <c r="U4" i="17"/>
  <c r="T839" i="17"/>
  <c r="S839" i="17"/>
  <c r="R839" i="17"/>
  <c r="Q839" i="17"/>
  <c r="T837" i="17"/>
  <c r="S837" i="17"/>
  <c r="R837" i="17"/>
  <c r="Q837" i="17"/>
  <c r="T836" i="17"/>
  <c r="S836" i="17"/>
  <c r="R836" i="17"/>
  <c r="Q836" i="17"/>
  <c r="T835" i="17"/>
  <c r="S835" i="17"/>
  <c r="R835" i="17"/>
  <c r="Q835" i="17"/>
  <c r="T834" i="17"/>
  <c r="S834" i="17"/>
  <c r="R834" i="17"/>
  <c r="Q834" i="17"/>
  <c r="T833" i="17"/>
  <c r="S833" i="17"/>
  <c r="R833" i="17"/>
  <c r="Q833" i="17"/>
  <c r="T832" i="17"/>
  <c r="S832" i="17"/>
  <c r="R832" i="17"/>
  <c r="Q832" i="17"/>
  <c r="T831" i="17"/>
  <c r="S831" i="17"/>
  <c r="R831" i="17"/>
  <c r="Q831" i="17"/>
  <c r="T829" i="17"/>
  <c r="S829" i="17"/>
  <c r="R829" i="17"/>
  <c r="Q829" i="17"/>
  <c r="T828" i="17"/>
  <c r="S828" i="17"/>
  <c r="R828" i="17"/>
  <c r="Q828" i="17"/>
  <c r="T827" i="17"/>
  <c r="S827" i="17"/>
  <c r="R827" i="17"/>
  <c r="Q827" i="17"/>
  <c r="T826" i="17"/>
  <c r="S826" i="17"/>
  <c r="R826" i="17"/>
  <c r="Q826" i="17"/>
  <c r="T825" i="17"/>
  <c r="S825" i="17"/>
  <c r="R825" i="17"/>
  <c r="Q825" i="17"/>
  <c r="T824" i="17"/>
  <c r="S824" i="17"/>
  <c r="R824" i="17"/>
  <c r="Q824" i="17"/>
  <c r="T823" i="17"/>
  <c r="S823" i="17"/>
  <c r="R823" i="17"/>
  <c r="Q823" i="17"/>
  <c r="T822" i="17"/>
  <c r="S822" i="17"/>
  <c r="R822" i="17"/>
  <c r="Q822" i="17"/>
  <c r="T821" i="17"/>
  <c r="S821" i="17"/>
  <c r="R821" i="17"/>
  <c r="Q821" i="17"/>
  <c r="T820" i="17"/>
  <c r="S820" i="17"/>
  <c r="R820" i="17"/>
  <c r="Q820" i="17"/>
  <c r="T819" i="17"/>
  <c r="S819" i="17"/>
  <c r="R819" i="17"/>
  <c r="Q819" i="17"/>
  <c r="T818" i="17"/>
  <c r="S818" i="17"/>
  <c r="R818" i="17"/>
  <c r="Q818" i="17"/>
  <c r="T817" i="17"/>
  <c r="S817" i="17"/>
  <c r="R817" i="17"/>
  <c r="Q817" i="17"/>
  <c r="T816" i="17"/>
  <c r="S816" i="17"/>
  <c r="R816" i="17"/>
  <c r="Q816" i="17"/>
  <c r="T815" i="17"/>
  <c r="S815" i="17"/>
  <c r="R815" i="17"/>
  <c r="Q815" i="17"/>
  <c r="T814" i="17"/>
  <c r="S814" i="17"/>
  <c r="R814" i="17"/>
  <c r="Q814" i="17"/>
  <c r="T812" i="17"/>
  <c r="S812" i="17"/>
  <c r="R812" i="17"/>
  <c r="Q812" i="17"/>
  <c r="T811" i="17"/>
  <c r="S811" i="17"/>
  <c r="R811" i="17"/>
  <c r="Q811" i="17"/>
  <c r="T810" i="17"/>
  <c r="S810" i="17"/>
  <c r="R810" i="17"/>
  <c r="Q810" i="17"/>
  <c r="T809" i="17"/>
  <c r="S809" i="17"/>
  <c r="R809" i="17"/>
  <c r="Q809" i="17"/>
  <c r="T808" i="17"/>
  <c r="S808" i="17"/>
  <c r="R808" i="17"/>
  <c r="Q808" i="17"/>
  <c r="T807" i="17"/>
  <c r="S807" i="17"/>
  <c r="R807" i="17"/>
  <c r="Q807" i="17"/>
  <c r="T806" i="17"/>
  <c r="S806" i="17"/>
  <c r="R806" i="17"/>
  <c r="Q806" i="17"/>
  <c r="T805" i="17"/>
  <c r="S805" i="17"/>
  <c r="R805" i="17"/>
  <c r="Q805" i="17"/>
  <c r="T804" i="17"/>
  <c r="S804" i="17"/>
  <c r="R804" i="17"/>
  <c r="Q804" i="17"/>
  <c r="T803" i="17"/>
  <c r="S803" i="17"/>
  <c r="R803" i="17"/>
  <c r="Q803" i="17"/>
  <c r="T802" i="17"/>
  <c r="S802" i="17"/>
  <c r="R802" i="17"/>
  <c r="Q802" i="17"/>
  <c r="T801" i="17"/>
  <c r="S801" i="17"/>
  <c r="R801" i="17"/>
  <c r="Q801" i="17"/>
  <c r="T800" i="17"/>
  <c r="S800" i="17"/>
  <c r="R800" i="17"/>
  <c r="Q800" i="17"/>
  <c r="T799" i="17"/>
  <c r="S799" i="17"/>
  <c r="R799" i="17"/>
  <c r="Q799" i="17"/>
  <c r="T798" i="17"/>
  <c r="S798" i="17"/>
  <c r="R798" i="17"/>
  <c r="Q798" i="17"/>
  <c r="T797" i="17"/>
  <c r="S797" i="17"/>
  <c r="R797" i="17"/>
  <c r="Q797" i="17"/>
  <c r="T796" i="17"/>
  <c r="S796" i="17"/>
  <c r="R796" i="17"/>
  <c r="Q796" i="17"/>
  <c r="T795" i="17"/>
  <c r="S795" i="17"/>
  <c r="R795" i="17"/>
  <c r="Q795" i="17"/>
  <c r="T794" i="17"/>
  <c r="S794" i="17"/>
  <c r="R794" i="17"/>
  <c r="Q794" i="17"/>
  <c r="T793" i="17"/>
  <c r="S793" i="17"/>
  <c r="R793" i="17"/>
  <c r="Q793" i="17"/>
  <c r="T792" i="17"/>
  <c r="S792" i="17"/>
  <c r="R792" i="17"/>
  <c r="Q792" i="17"/>
  <c r="T791" i="17"/>
  <c r="S791" i="17"/>
  <c r="R791" i="17"/>
  <c r="Q791" i="17"/>
  <c r="T790" i="17"/>
  <c r="S790" i="17"/>
  <c r="R790" i="17"/>
  <c r="Q790" i="17"/>
  <c r="T789" i="17"/>
  <c r="S789" i="17"/>
  <c r="R789" i="17"/>
  <c r="Q789" i="17"/>
  <c r="T788" i="17"/>
  <c r="S788" i="17"/>
  <c r="R788" i="17"/>
  <c r="Q788" i="17"/>
  <c r="T787" i="17"/>
  <c r="S787" i="17"/>
  <c r="R787" i="17"/>
  <c r="Q787" i="17"/>
  <c r="T786" i="17"/>
  <c r="S786" i="17"/>
  <c r="R786" i="17"/>
  <c r="Q786" i="17"/>
  <c r="T785" i="17"/>
  <c r="S785" i="17"/>
  <c r="R785" i="17"/>
  <c r="Q785" i="17"/>
  <c r="T784" i="17"/>
  <c r="S784" i="17"/>
  <c r="R784" i="17"/>
  <c r="Q784" i="17"/>
  <c r="T783" i="17"/>
  <c r="S783" i="17"/>
  <c r="R783" i="17"/>
  <c r="Q783" i="17"/>
  <c r="T782" i="17"/>
  <c r="S782" i="17"/>
  <c r="R782" i="17"/>
  <c r="Q782" i="17"/>
  <c r="T781" i="17"/>
  <c r="S781" i="17"/>
  <c r="R781" i="17"/>
  <c r="Q781" i="17"/>
  <c r="T780" i="17"/>
  <c r="S780" i="17"/>
  <c r="R780" i="17"/>
  <c r="Q780" i="17"/>
  <c r="T779" i="17"/>
  <c r="S779" i="17"/>
  <c r="R779" i="17"/>
  <c r="Q779" i="17"/>
  <c r="T778" i="17"/>
  <c r="S778" i="17"/>
  <c r="R778" i="17"/>
  <c r="Q778" i="17"/>
  <c r="T777" i="17"/>
  <c r="S777" i="17"/>
  <c r="R777" i="17"/>
  <c r="Q777" i="17"/>
  <c r="T776" i="17"/>
  <c r="S776" i="17"/>
  <c r="R776" i="17"/>
  <c r="Q776" i="17"/>
  <c r="T775" i="17"/>
  <c r="S775" i="17"/>
  <c r="R775" i="17"/>
  <c r="Q775" i="17"/>
  <c r="T774" i="17"/>
  <c r="S774" i="17"/>
  <c r="R774" i="17"/>
  <c r="Q774" i="17"/>
  <c r="T773" i="17"/>
  <c r="S773" i="17"/>
  <c r="R773" i="17"/>
  <c r="Q773" i="17"/>
  <c r="T772" i="17"/>
  <c r="S772" i="17"/>
  <c r="R772" i="17"/>
  <c r="Q772" i="17"/>
  <c r="T771" i="17"/>
  <c r="S771" i="17"/>
  <c r="R771" i="17"/>
  <c r="Q771" i="17"/>
  <c r="T770" i="17"/>
  <c r="S770" i="17"/>
  <c r="R770" i="17"/>
  <c r="Q770" i="17"/>
  <c r="T769" i="17"/>
  <c r="S769" i="17"/>
  <c r="R769" i="17"/>
  <c r="Q769" i="17"/>
  <c r="T768" i="17"/>
  <c r="S768" i="17"/>
  <c r="R768" i="17"/>
  <c r="Q768" i="17"/>
  <c r="T767" i="17"/>
  <c r="S767" i="17"/>
  <c r="R767" i="17"/>
  <c r="Q767" i="17"/>
  <c r="T766" i="17"/>
  <c r="S766" i="17"/>
  <c r="R766" i="17"/>
  <c r="Q766" i="17"/>
  <c r="T765" i="17"/>
  <c r="S765" i="17"/>
  <c r="R765" i="17"/>
  <c r="Q765" i="17"/>
  <c r="T764" i="17"/>
  <c r="S764" i="17"/>
  <c r="R764" i="17"/>
  <c r="Q764" i="17"/>
  <c r="T763" i="17"/>
  <c r="S763" i="17"/>
  <c r="R763" i="17"/>
  <c r="Q763" i="17"/>
  <c r="T762" i="17"/>
  <c r="S762" i="17"/>
  <c r="R762" i="17"/>
  <c r="Q762" i="17"/>
  <c r="T761" i="17"/>
  <c r="S761" i="17"/>
  <c r="R761" i="17"/>
  <c r="Q761" i="17"/>
  <c r="T760" i="17"/>
  <c r="S760" i="17"/>
  <c r="R760" i="17"/>
  <c r="Q760" i="17"/>
  <c r="T759" i="17"/>
  <c r="S759" i="17"/>
  <c r="R759" i="17"/>
  <c r="Q759" i="17"/>
  <c r="T758" i="17"/>
  <c r="S758" i="17"/>
  <c r="R758" i="17"/>
  <c r="Q758" i="17"/>
  <c r="T757" i="17"/>
  <c r="S757" i="17"/>
  <c r="R757" i="17"/>
  <c r="Q757" i="17"/>
  <c r="T756" i="17"/>
  <c r="S756" i="17"/>
  <c r="R756" i="17"/>
  <c r="Q756" i="17"/>
  <c r="T755" i="17"/>
  <c r="S755" i="17"/>
  <c r="R755" i="17"/>
  <c r="Q755" i="17"/>
  <c r="T754" i="17"/>
  <c r="S754" i="17"/>
  <c r="R754" i="17"/>
  <c r="Q754" i="17"/>
  <c r="T752" i="17"/>
  <c r="S752" i="17"/>
  <c r="R752" i="17"/>
  <c r="Q752" i="17"/>
  <c r="T751" i="17"/>
  <c r="S751" i="17"/>
  <c r="R751" i="17"/>
  <c r="Q751" i="17"/>
  <c r="T750" i="17"/>
  <c r="S750" i="17"/>
  <c r="R750" i="17"/>
  <c r="Q750" i="17"/>
  <c r="T749" i="17"/>
  <c r="S749" i="17"/>
  <c r="R749" i="17"/>
  <c r="Q749" i="17"/>
  <c r="T748" i="17"/>
  <c r="S748" i="17"/>
  <c r="R748" i="17"/>
  <c r="Q748" i="17"/>
  <c r="T747" i="17"/>
  <c r="S747" i="17"/>
  <c r="R747" i="17"/>
  <c r="Q747" i="17"/>
  <c r="T746" i="17"/>
  <c r="S746" i="17"/>
  <c r="R746" i="17"/>
  <c r="Q746" i="17"/>
  <c r="T745" i="17"/>
  <c r="S745" i="17"/>
  <c r="R745" i="17"/>
  <c r="Q745" i="17"/>
  <c r="T744" i="17"/>
  <c r="S744" i="17"/>
  <c r="R744" i="17"/>
  <c r="Q744" i="17"/>
  <c r="T743" i="17"/>
  <c r="S743" i="17"/>
  <c r="R743" i="17"/>
  <c r="Q743" i="17"/>
  <c r="T742" i="17"/>
  <c r="S742" i="17"/>
  <c r="R742" i="17"/>
  <c r="Q742" i="17"/>
  <c r="T741" i="17"/>
  <c r="S741" i="17"/>
  <c r="R741" i="17"/>
  <c r="Q741" i="17"/>
  <c r="T740" i="17"/>
  <c r="S740" i="17"/>
  <c r="R740" i="17"/>
  <c r="Q740" i="17"/>
  <c r="T739" i="17"/>
  <c r="S739" i="17"/>
  <c r="R739" i="17"/>
  <c r="Q739" i="17"/>
  <c r="T738" i="17"/>
  <c r="S738" i="17"/>
  <c r="R738" i="17"/>
  <c r="Q738" i="17"/>
  <c r="T737" i="17"/>
  <c r="S737" i="17"/>
  <c r="R737" i="17"/>
  <c r="Q737" i="17"/>
  <c r="T736" i="17"/>
  <c r="S736" i="17"/>
  <c r="R736" i="17"/>
  <c r="Q736" i="17"/>
  <c r="T735" i="17"/>
  <c r="S735" i="17"/>
  <c r="R735" i="17"/>
  <c r="Q735" i="17"/>
  <c r="T734" i="17"/>
  <c r="S734" i="17"/>
  <c r="R734" i="17"/>
  <c r="Q734" i="17"/>
  <c r="T733" i="17"/>
  <c r="S733" i="17"/>
  <c r="R733" i="17"/>
  <c r="Q733" i="17"/>
  <c r="T732" i="17"/>
  <c r="S732" i="17"/>
  <c r="R732" i="17"/>
  <c r="Q732" i="17"/>
  <c r="T731" i="17"/>
  <c r="S731" i="17"/>
  <c r="R731" i="17"/>
  <c r="Q731" i="17"/>
  <c r="T730" i="17"/>
  <c r="S730" i="17"/>
  <c r="R730" i="17"/>
  <c r="Q730" i="17"/>
  <c r="T729" i="17"/>
  <c r="S729" i="17"/>
  <c r="R729" i="17"/>
  <c r="Q729" i="17"/>
  <c r="T728" i="17"/>
  <c r="S728" i="17"/>
  <c r="R728" i="17"/>
  <c r="Q728" i="17"/>
  <c r="T727" i="17"/>
  <c r="S727" i="17"/>
  <c r="R727" i="17"/>
  <c r="Q727" i="17"/>
  <c r="T726" i="17"/>
  <c r="S726" i="17"/>
  <c r="R726" i="17"/>
  <c r="Q726" i="17"/>
  <c r="T725" i="17"/>
  <c r="S725" i="17"/>
  <c r="R725" i="17"/>
  <c r="Q725" i="17"/>
  <c r="T724" i="17"/>
  <c r="S724" i="17"/>
  <c r="R724" i="17"/>
  <c r="Q724" i="17"/>
  <c r="T723" i="17"/>
  <c r="S723" i="17"/>
  <c r="R723" i="17"/>
  <c r="Q723" i="17"/>
  <c r="T722" i="17"/>
  <c r="S722" i="17"/>
  <c r="R722" i="17"/>
  <c r="Q722" i="17"/>
  <c r="T721" i="17"/>
  <c r="S721" i="17"/>
  <c r="R721" i="17"/>
  <c r="Q721" i="17"/>
  <c r="T720" i="17"/>
  <c r="S720" i="17"/>
  <c r="R720" i="17"/>
  <c r="Q720" i="17"/>
  <c r="T719" i="17"/>
  <c r="S719" i="17"/>
  <c r="R719" i="17"/>
  <c r="Q719" i="17"/>
  <c r="T718" i="17"/>
  <c r="S718" i="17"/>
  <c r="R718" i="17"/>
  <c r="Q718" i="17"/>
  <c r="T717" i="17"/>
  <c r="S717" i="17"/>
  <c r="R717" i="17"/>
  <c r="Q717" i="17"/>
  <c r="T716" i="17"/>
  <c r="S716" i="17"/>
  <c r="R716" i="17"/>
  <c r="Q716" i="17"/>
  <c r="T715" i="17"/>
  <c r="S715" i="17"/>
  <c r="R715" i="17"/>
  <c r="Q715" i="17"/>
  <c r="T714" i="17"/>
  <c r="S714" i="17"/>
  <c r="R714" i="17"/>
  <c r="Q714" i="17"/>
  <c r="T713" i="17"/>
  <c r="S713" i="17"/>
  <c r="R713" i="17"/>
  <c r="Q713" i="17"/>
  <c r="T712" i="17"/>
  <c r="S712" i="17"/>
  <c r="R712" i="17"/>
  <c r="Q712" i="17"/>
  <c r="T711" i="17"/>
  <c r="S711" i="17"/>
  <c r="R711" i="17"/>
  <c r="Q711" i="17"/>
  <c r="T710" i="17"/>
  <c r="S710" i="17"/>
  <c r="R710" i="17"/>
  <c r="Q710" i="17"/>
  <c r="T709" i="17"/>
  <c r="S709" i="17"/>
  <c r="R709" i="17"/>
  <c r="Q709" i="17"/>
  <c r="T708" i="17"/>
  <c r="S708" i="17"/>
  <c r="R708" i="17"/>
  <c r="Q708" i="17"/>
  <c r="T707" i="17"/>
  <c r="S707" i="17"/>
  <c r="R707" i="17"/>
  <c r="Q707" i="17"/>
  <c r="T706" i="17"/>
  <c r="S706" i="17"/>
  <c r="R706" i="17"/>
  <c r="Q706" i="17"/>
  <c r="T705" i="17"/>
  <c r="S705" i="17"/>
  <c r="R705" i="17"/>
  <c r="Q705" i="17"/>
  <c r="T704" i="17"/>
  <c r="S704" i="17"/>
  <c r="R704" i="17"/>
  <c r="Q704" i="17"/>
  <c r="T703" i="17"/>
  <c r="S703" i="17"/>
  <c r="R703" i="17"/>
  <c r="Q703" i="17"/>
  <c r="T702" i="17"/>
  <c r="S702" i="17"/>
  <c r="R702" i="17"/>
  <c r="Q702" i="17"/>
  <c r="T701" i="17"/>
  <c r="S701" i="17"/>
  <c r="R701" i="17"/>
  <c r="Q701" i="17"/>
  <c r="T700" i="17"/>
  <c r="S700" i="17"/>
  <c r="R700" i="17"/>
  <c r="Q700" i="17"/>
  <c r="T699" i="17"/>
  <c r="S699" i="17"/>
  <c r="R699" i="17"/>
  <c r="Q699" i="17"/>
  <c r="T698" i="17"/>
  <c r="S698" i="17"/>
  <c r="R698" i="17"/>
  <c r="Q698" i="17"/>
  <c r="T697" i="17"/>
  <c r="S697" i="17"/>
  <c r="R697" i="17"/>
  <c r="Q697" i="17"/>
  <c r="T696" i="17"/>
  <c r="S696" i="17"/>
  <c r="R696" i="17"/>
  <c r="Q696" i="17"/>
  <c r="T695" i="17"/>
  <c r="S695" i="17"/>
  <c r="R695" i="17"/>
  <c r="Q695" i="17"/>
  <c r="T694" i="17"/>
  <c r="S694" i="17"/>
  <c r="R694" i="17"/>
  <c r="Q694" i="17"/>
  <c r="T693" i="17"/>
  <c r="S693" i="17"/>
  <c r="R693" i="17"/>
  <c r="Q693" i="17"/>
  <c r="T692" i="17"/>
  <c r="S692" i="17"/>
  <c r="R692" i="17"/>
  <c r="Q692" i="17"/>
  <c r="T691" i="17"/>
  <c r="S691" i="17"/>
  <c r="R691" i="17"/>
  <c r="Q691" i="17"/>
  <c r="T690" i="17"/>
  <c r="S690" i="17"/>
  <c r="R690" i="17"/>
  <c r="Q690" i="17"/>
  <c r="T689" i="17"/>
  <c r="S689" i="17"/>
  <c r="R689" i="17"/>
  <c r="Q689" i="17"/>
  <c r="T688" i="17"/>
  <c r="S688" i="17"/>
  <c r="R688" i="17"/>
  <c r="Q688" i="17"/>
  <c r="T687" i="17"/>
  <c r="S687" i="17"/>
  <c r="R687" i="17"/>
  <c r="Q687" i="17"/>
  <c r="T686" i="17"/>
  <c r="S686" i="17"/>
  <c r="R686" i="17"/>
  <c r="Q686" i="17"/>
  <c r="T685" i="17"/>
  <c r="S685" i="17"/>
  <c r="R685" i="17"/>
  <c r="Q685" i="17"/>
  <c r="T684" i="17"/>
  <c r="S684" i="17"/>
  <c r="R684" i="17"/>
  <c r="Q684" i="17"/>
  <c r="T683" i="17"/>
  <c r="S683" i="17"/>
  <c r="R683" i="17"/>
  <c r="Q683" i="17"/>
  <c r="T681" i="17"/>
  <c r="S681" i="17"/>
  <c r="R681" i="17"/>
  <c r="Q681" i="17"/>
  <c r="T680" i="17"/>
  <c r="S680" i="17"/>
  <c r="R680" i="17"/>
  <c r="Q680" i="17"/>
  <c r="T679" i="17"/>
  <c r="S679" i="17"/>
  <c r="R679" i="17"/>
  <c r="Q679" i="17"/>
  <c r="T678" i="17"/>
  <c r="S678" i="17"/>
  <c r="R678" i="17"/>
  <c r="Q678" i="17"/>
  <c r="T677" i="17"/>
  <c r="S677" i="17"/>
  <c r="R677" i="17"/>
  <c r="Q677" i="17"/>
  <c r="T676" i="17"/>
  <c r="S676" i="17"/>
  <c r="R676" i="17"/>
  <c r="Q676" i="17"/>
  <c r="T675" i="17"/>
  <c r="S675" i="17"/>
  <c r="R675" i="17"/>
  <c r="Q675" i="17"/>
  <c r="T674" i="17"/>
  <c r="S674" i="17"/>
  <c r="R674" i="17"/>
  <c r="Q674" i="17"/>
  <c r="T673" i="17"/>
  <c r="S673" i="17"/>
  <c r="R673" i="17"/>
  <c r="Q673" i="17"/>
  <c r="T672" i="17"/>
  <c r="S672" i="17"/>
  <c r="R672" i="17"/>
  <c r="Q672" i="17"/>
  <c r="T671" i="17"/>
  <c r="S671" i="17"/>
  <c r="R671" i="17"/>
  <c r="Q671" i="17"/>
  <c r="T670" i="17"/>
  <c r="S670" i="17"/>
  <c r="R670" i="17"/>
  <c r="Q670" i="17"/>
  <c r="T669" i="17"/>
  <c r="S669" i="17"/>
  <c r="R669" i="17"/>
  <c r="Q669" i="17"/>
  <c r="T668" i="17"/>
  <c r="S668" i="17"/>
  <c r="R668" i="17"/>
  <c r="Q668" i="17"/>
  <c r="T667" i="17"/>
  <c r="S667" i="17"/>
  <c r="R667" i="17"/>
  <c r="Q667" i="17"/>
  <c r="T666" i="17"/>
  <c r="S666" i="17"/>
  <c r="R666" i="17"/>
  <c r="Q666" i="17"/>
  <c r="T665" i="17"/>
  <c r="S665" i="17"/>
  <c r="R665" i="17"/>
  <c r="Q665" i="17"/>
  <c r="T664" i="17"/>
  <c r="S664" i="17"/>
  <c r="R664" i="17"/>
  <c r="Q664" i="17"/>
  <c r="T663" i="17"/>
  <c r="S663" i="17"/>
  <c r="R663" i="17"/>
  <c r="Q663" i="17"/>
  <c r="T661" i="17"/>
  <c r="S661" i="17"/>
  <c r="R661" i="17"/>
  <c r="Q661" i="17"/>
  <c r="T660" i="17"/>
  <c r="S660" i="17"/>
  <c r="R660" i="17"/>
  <c r="Q660" i="17"/>
  <c r="T658" i="17"/>
  <c r="S658" i="17"/>
  <c r="R658" i="17"/>
  <c r="Q658" i="17"/>
  <c r="T657" i="17"/>
  <c r="S657" i="17"/>
  <c r="R657" i="17"/>
  <c r="Q657" i="17"/>
  <c r="T655" i="17"/>
  <c r="S655" i="17"/>
  <c r="R655" i="17"/>
  <c r="Q655" i="17"/>
  <c r="T654" i="17"/>
  <c r="S654" i="17"/>
  <c r="R654" i="17"/>
  <c r="Q654" i="17"/>
  <c r="T653" i="17"/>
  <c r="S653" i="17"/>
  <c r="R653" i="17"/>
  <c r="Q653" i="17"/>
  <c r="T652" i="17"/>
  <c r="S652" i="17"/>
  <c r="R652" i="17"/>
  <c r="Q652" i="17"/>
  <c r="T650" i="17"/>
  <c r="S650" i="17"/>
  <c r="R650" i="17"/>
  <c r="Q650" i="17"/>
  <c r="T649" i="17"/>
  <c r="S649" i="17"/>
  <c r="R649" i="17"/>
  <c r="Q649" i="17"/>
  <c r="T647" i="17"/>
  <c r="S647" i="17"/>
  <c r="R647" i="17"/>
  <c r="Q647" i="17"/>
  <c r="T646" i="17"/>
  <c r="S646" i="17"/>
  <c r="R646" i="17"/>
  <c r="Q646" i="17"/>
  <c r="T645" i="17"/>
  <c r="S645" i="17"/>
  <c r="R645" i="17"/>
  <c r="Q645" i="17"/>
  <c r="T644" i="17"/>
  <c r="S644" i="17"/>
  <c r="R644" i="17"/>
  <c r="Q644" i="17"/>
  <c r="T643" i="17"/>
  <c r="S643" i="17"/>
  <c r="R643" i="17"/>
  <c r="Q643" i="17"/>
  <c r="T642" i="17"/>
  <c r="S642" i="17"/>
  <c r="R642" i="17"/>
  <c r="Q642" i="17"/>
  <c r="T641" i="17"/>
  <c r="S641" i="17"/>
  <c r="R641" i="17"/>
  <c r="Q641" i="17"/>
  <c r="T640" i="17"/>
  <c r="S640" i="17"/>
  <c r="R640" i="17"/>
  <c r="Q640" i="17"/>
  <c r="T639" i="17"/>
  <c r="S639" i="17"/>
  <c r="R639" i="17"/>
  <c r="Q639" i="17"/>
  <c r="T638" i="17"/>
  <c r="S638" i="17"/>
  <c r="R638" i="17"/>
  <c r="Q638" i="17"/>
  <c r="T637" i="17"/>
  <c r="S637" i="17"/>
  <c r="R637" i="17"/>
  <c r="Q637" i="17"/>
  <c r="T636" i="17"/>
  <c r="S636" i="17"/>
  <c r="R636" i="17"/>
  <c r="Q636" i="17"/>
  <c r="T635" i="17"/>
  <c r="S635" i="17"/>
  <c r="R635" i="17"/>
  <c r="Q635" i="17"/>
  <c r="T634" i="17"/>
  <c r="S634" i="17"/>
  <c r="R634" i="17"/>
  <c r="Q634" i="17"/>
  <c r="T633" i="17"/>
  <c r="S633" i="17"/>
  <c r="R633" i="17"/>
  <c r="Q633" i="17"/>
  <c r="T632" i="17"/>
  <c r="S632" i="17"/>
  <c r="R632" i="17"/>
  <c r="Q632" i="17"/>
  <c r="T631" i="17"/>
  <c r="S631" i="17"/>
  <c r="R631" i="17"/>
  <c r="Q631" i="17"/>
  <c r="T630" i="17"/>
  <c r="S630" i="17"/>
  <c r="R630" i="17"/>
  <c r="Q630" i="17"/>
  <c r="T628" i="17"/>
  <c r="S628" i="17"/>
  <c r="R628" i="17"/>
  <c r="Q628" i="17"/>
  <c r="T627" i="17"/>
  <c r="S627" i="17"/>
  <c r="R627" i="17"/>
  <c r="Q627" i="17"/>
  <c r="T626" i="17"/>
  <c r="S626" i="17"/>
  <c r="R626" i="17"/>
  <c r="Q626" i="17"/>
  <c r="T625" i="17"/>
  <c r="S625" i="17"/>
  <c r="R625" i="17"/>
  <c r="Q625" i="17"/>
  <c r="T624" i="17"/>
  <c r="S624" i="17"/>
  <c r="R624" i="17"/>
  <c r="Q624" i="17"/>
  <c r="T623" i="17"/>
  <c r="S623" i="17"/>
  <c r="R623" i="17"/>
  <c r="Q623" i="17"/>
  <c r="T622" i="17"/>
  <c r="S622" i="17"/>
  <c r="R622" i="17"/>
  <c r="Q622" i="17"/>
  <c r="T620" i="17"/>
  <c r="S620" i="17"/>
  <c r="R620" i="17"/>
  <c r="Q620" i="17"/>
  <c r="T619" i="17"/>
  <c r="S619" i="17"/>
  <c r="R619" i="17"/>
  <c r="Q619" i="17"/>
  <c r="T618" i="17"/>
  <c r="S618" i="17"/>
  <c r="R618" i="17"/>
  <c r="Q618" i="17"/>
  <c r="T617" i="17"/>
  <c r="S617" i="17"/>
  <c r="R617" i="17"/>
  <c r="Q617" i="17"/>
  <c r="T616" i="17"/>
  <c r="S616" i="17"/>
  <c r="R616" i="17"/>
  <c r="Q616" i="17"/>
  <c r="T615" i="17"/>
  <c r="S615" i="17"/>
  <c r="R615" i="17"/>
  <c r="Q615" i="17"/>
  <c r="T614" i="17"/>
  <c r="S614" i="17"/>
  <c r="R614" i="17"/>
  <c r="Q614" i="17"/>
  <c r="T613" i="17"/>
  <c r="S613" i="17"/>
  <c r="R613" i="17"/>
  <c r="Q613" i="17"/>
  <c r="T612" i="17"/>
  <c r="S612" i="17"/>
  <c r="R612" i="17"/>
  <c r="Q612" i="17"/>
  <c r="T611" i="17"/>
  <c r="S611" i="17"/>
  <c r="R611" i="17"/>
  <c r="Q611" i="17"/>
  <c r="T610" i="17"/>
  <c r="S610" i="17"/>
  <c r="R610" i="17"/>
  <c r="Q610" i="17"/>
  <c r="T609" i="17"/>
  <c r="S609" i="17"/>
  <c r="R609" i="17"/>
  <c r="Q609" i="17"/>
  <c r="T608" i="17"/>
  <c r="S608" i="17"/>
  <c r="R608" i="17"/>
  <c r="Q608" i="17"/>
  <c r="T607" i="17"/>
  <c r="S607" i="17"/>
  <c r="R607" i="17"/>
  <c r="Q607" i="17"/>
  <c r="T606" i="17"/>
  <c r="S606" i="17"/>
  <c r="R606" i="17"/>
  <c r="Q606" i="17"/>
  <c r="T605" i="17"/>
  <c r="S605" i="17"/>
  <c r="R605" i="17"/>
  <c r="Q605" i="17"/>
  <c r="T603" i="17"/>
  <c r="S603" i="17"/>
  <c r="R603" i="17"/>
  <c r="Q603" i="17"/>
  <c r="T602" i="17"/>
  <c r="S602" i="17"/>
  <c r="R602" i="17"/>
  <c r="Q602" i="17"/>
  <c r="T601" i="17"/>
  <c r="S601" i="17"/>
  <c r="R601" i="17"/>
  <c r="Q601" i="17"/>
  <c r="T600" i="17"/>
  <c r="S600" i="17"/>
  <c r="R600" i="17"/>
  <c r="Q600" i="17"/>
  <c r="T599" i="17"/>
  <c r="S599" i="17"/>
  <c r="R599" i="17"/>
  <c r="Q599" i="17"/>
  <c r="T598" i="17"/>
  <c r="S598" i="17"/>
  <c r="R598" i="17"/>
  <c r="Q598" i="17"/>
  <c r="T597" i="17"/>
  <c r="S597" i="17"/>
  <c r="R597" i="17"/>
  <c r="Q597" i="17"/>
  <c r="T596" i="17"/>
  <c r="S596" i="17"/>
  <c r="R596" i="17"/>
  <c r="Q596" i="17"/>
  <c r="T595" i="17"/>
  <c r="S595" i="17"/>
  <c r="R595" i="17"/>
  <c r="Q595" i="17"/>
  <c r="T594" i="17"/>
  <c r="S594" i="17"/>
  <c r="R594" i="17"/>
  <c r="Q594" i="17"/>
  <c r="T593" i="17"/>
  <c r="S593" i="17"/>
  <c r="R593" i="17"/>
  <c r="Q593" i="17"/>
  <c r="T592" i="17"/>
  <c r="S592" i="17"/>
  <c r="R592" i="17"/>
  <c r="Q592" i="17"/>
  <c r="T591" i="17"/>
  <c r="S591" i="17"/>
  <c r="R591" i="17"/>
  <c r="Q591" i="17"/>
  <c r="T590" i="17"/>
  <c r="S590" i="17"/>
  <c r="R590" i="17"/>
  <c r="Q590" i="17"/>
  <c r="T589" i="17"/>
  <c r="S589" i="17"/>
  <c r="R589" i="17"/>
  <c r="Q589" i="17"/>
  <c r="T588" i="17"/>
  <c r="S588" i="17"/>
  <c r="R588" i="17"/>
  <c r="Q588" i="17"/>
  <c r="T587" i="17"/>
  <c r="S587" i="17"/>
  <c r="R587" i="17"/>
  <c r="Q587" i="17"/>
  <c r="T586" i="17"/>
  <c r="S586" i="17"/>
  <c r="R586" i="17"/>
  <c r="Q586" i="17"/>
  <c r="T585" i="17"/>
  <c r="S585" i="17"/>
  <c r="R585" i="17"/>
  <c r="Q585" i="17"/>
  <c r="T584" i="17"/>
  <c r="S584" i="17"/>
  <c r="R584" i="17"/>
  <c r="Q584" i="17"/>
  <c r="T583" i="17"/>
  <c r="S583" i="17"/>
  <c r="R583" i="17"/>
  <c r="Q583" i="17"/>
  <c r="T582" i="17"/>
  <c r="S582" i="17"/>
  <c r="R582" i="17"/>
  <c r="Q582" i="17"/>
  <c r="T581" i="17"/>
  <c r="S581" i="17"/>
  <c r="R581" i="17"/>
  <c r="Q581" i="17"/>
  <c r="T580" i="17"/>
  <c r="S580" i="17"/>
  <c r="R580" i="17"/>
  <c r="Q580" i="17"/>
  <c r="T579" i="17"/>
  <c r="S579" i="17"/>
  <c r="R579" i="17"/>
  <c r="Q579" i="17"/>
  <c r="T578" i="17"/>
  <c r="S578" i="17"/>
  <c r="R578" i="17"/>
  <c r="Q578" i="17"/>
  <c r="T577" i="17"/>
  <c r="S577" i="17"/>
  <c r="R577" i="17"/>
  <c r="Q577" i="17"/>
  <c r="T576" i="17"/>
  <c r="S576" i="17"/>
  <c r="R576" i="17"/>
  <c r="Q576" i="17"/>
  <c r="T575" i="17"/>
  <c r="S575" i="17"/>
  <c r="R575" i="17"/>
  <c r="Q575" i="17"/>
  <c r="T574" i="17"/>
  <c r="S574" i="17"/>
  <c r="R574" i="17"/>
  <c r="Q574" i="17"/>
  <c r="T573" i="17"/>
  <c r="S573" i="17"/>
  <c r="R573" i="17"/>
  <c r="Q573" i="17"/>
  <c r="T572" i="17"/>
  <c r="S572" i="17"/>
  <c r="R572" i="17"/>
  <c r="Q572" i="17"/>
  <c r="T571" i="17"/>
  <c r="S571" i="17"/>
  <c r="R571" i="17"/>
  <c r="Q571" i="17"/>
  <c r="T570" i="17"/>
  <c r="S570" i="17"/>
  <c r="R570" i="17"/>
  <c r="Q570" i="17"/>
  <c r="T569" i="17"/>
  <c r="S569" i="17"/>
  <c r="R569" i="17"/>
  <c r="Q569" i="17"/>
  <c r="T568" i="17"/>
  <c r="S568" i="17"/>
  <c r="R568" i="17"/>
  <c r="Q568" i="17"/>
  <c r="T567" i="17"/>
  <c r="S567" i="17"/>
  <c r="R567" i="17"/>
  <c r="Q567" i="17"/>
  <c r="T566" i="17"/>
  <c r="S566" i="17"/>
  <c r="R566" i="17"/>
  <c r="Q566" i="17"/>
  <c r="T565" i="17"/>
  <c r="S565" i="17"/>
  <c r="R565" i="17"/>
  <c r="Q565" i="17"/>
  <c r="T564" i="17"/>
  <c r="S564" i="17"/>
  <c r="R564" i="17"/>
  <c r="Q564" i="17"/>
  <c r="T563" i="17"/>
  <c r="S563" i="17"/>
  <c r="R563" i="17"/>
  <c r="Q563" i="17"/>
  <c r="T562" i="17"/>
  <c r="S562" i="17"/>
  <c r="R562" i="17"/>
  <c r="Q562" i="17"/>
  <c r="T561" i="17"/>
  <c r="S561" i="17"/>
  <c r="R561" i="17"/>
  <c r="Q561" i="17"/>
  <c r="T560" i="17"/>
  <c r="S560" i="17"/>
  <c r="R560" i="17"/>
  <c r="Q560" i="17"/>
  <c r="T559" i="17"/>
  <c r="S559" i="17"/>
  <c r="R559" i="17"/>
  <c r="Q559" i="17"/>
  <c r="T558" i="17"/>
  <c r="S558" i="17"/>
  <c r="R558" i="17"/>
  <c r="Q558" i="17"/>
  <c r="T557" i="17"/>
  <c r="S557" i="17"/>
  <c r="R557" i="17"/>
  <c r="Q557" i="17"/>
  <c r="T556" i="17"/>
  <c r="S556" i="17"/>
  <c r="R556" i="17"/>
  <c r="Q556" i="17"/>
  <c r="T555" i="17"/>
  <c r="S555" i="17"/>
  <c r="R555" i="17"/>
  <c r="Q555" i="17"/>
  <c r="T554" i="17"/>
  <c r="S554" i="17"/>
  <c r="R554" i="17"/>
  <c r="Q554" i="17"/>
  <c r="T553" i="17"/>
  <c r="S553" i="17"/>
  <c r="R553" i="17"/>
  <c r="Q553" i="17"/>
  <c r="T552" i="17"/>
  <c r="S552" i="17"/>
  <c r="R552" i="17"/>
  <c r="Q552" i="17"/>
  <c r="T551" i="17"/>
  <c r="S551" i="17"/>
  <c r="R551" i="17"/>
  <c r="Q551" i="17"/>
  <c r="T550" i="17"/>
  <c r="S550" i="17"/>
  <c r="R550" i="17"/>
  <c r="Q550" i="17"/>
  <c r="T549" i="17"/>
  <c r="S549" i="17"/>
  <c r="R549" i="17"/>
  <c r="Q549" i="17"/>
  <c r="T548" i="17"/>
  <c r="S548" i="17"/>
  <c r="R548" i="17"/>
  <c r="Q548" i="17"/>
  <c r="T547" i="17"/>
  <c r="S547" i="17"/>
  <c r="R547" i="17"/>
  <c r="Q547" i="17"/>
  <c r="T546" i="17"/>
  <c r="S546" i="17"/>
  <c r="R546" i="17"/>
  <c r="Q546" i="17"/>
  <c r="T545" i="17"/>
  <c r="S545" i="17"/>
  <c r="R545" i="17"/>
  <c r="Q545" i="17"/>
  <c r="T543" i="17"/>
  <c r="S543" i="17"/>
  <c r="R543" i="17"/>
  <c r="Q543" i="17"/>
  <c r="T542" i="17"/>
  <c r="S542" i="17"/>
  <c r="R542" i="17"/>
  <c r="Q542" i="17"/>
  <c r="T541" i="17"/>
  <c r="S541" i="17"/>
  <c r="R541" i="17"/>
  <c r="Q541" i="17"/>
  <c r="T540" i="17"/>
  <c r="S540" i="17"/>
  <c r="R540" i="17"/>
  <c r="Q540" i="17"/>
  <c r="T539" i="17"/>
  <c r="S539" i="17"/>
  <c r="R539" i="17"/>
  <c r="Q539" i="17"/>
  <c r="T538" i="17"/>
  <c r="S538" i="17"/>
  <c r="R538" i="17"/>
  <c r="Q538" i="17"/>
  <c r="T537" i="17"/>
  <c r="S537" i="17"/>
  <c r="R537" i="17"/>
  <c r="Q537" i="17"/>
  <c r="T536" i="17"/>
  <c r="S536" i="17"/>
  <c r="R536" i="17"/>
  <c r="Q536" i="17"/>
  <c r="T535" i="17"/>
  <c r="S535" i="17"/>
  <c r="R535" i="17"/>
  <c r="Q535" i="17"/>
  <c r="T534" i="17"/>
  <c r="S534" i="17"/>
  <c r="R534" i="17"/>
  <c r="Q534" i="17"/>
  <c r="T533" i="17"/>
  <c r="S533" i="17"/>
  <c r="R533" i="17"/>
  <c r="Q533" i="17"/>
  <c r="T532" i="17"/>
  <c r="S532" i="17"/>
  <c r="R532" i="17"/>
  <c r="Q532" i="17"/>
  <c r="T531" i="17"/>
  <c r="S531" i="17"/>
  <c r="R531" i="17"/>
  <c r="Q531" i="17"/>
  <c r="T530" i="17"/>
  <c r="S530" i="17"/>
  <c r="R530" i="17"/>
  <c r="Q530" i="17"/>
  <c r="T529" i="17"/>
  <c r="S529" i="17"/>
  <c r="R529" i="17"/>
  <c r="Q529" i="17"/>
  <c r="T528" i="17"/>
  <c r="S528" i="17"/>
  <c r="R528" i="17"/>
  <c r="Q528" i="17"/>
  <c r="T527" i="17"/>
  <c r="S527" i="17"/>
  <c r="R527" i="17"/>
  <c r="Q527" i="17"/>
  <c r="T526" i="17"/>
  <c r="S526" i="17"/>
  <c r="R526" i="17"/>
  <c r="Q526" i="17"/>
  <c r="T525" i="17"/>
  <c r="S525" i="17"/>
  <c r="R525" i="17"/>
  <c r="Q525" i="17"/>
  <c r="T524" i="17"/>
  <c r="S524" i="17"/>
  <c r="R524" i="17"/>
  <c r="Q524" i="17"/>
  <c r="T523" i="17"/>
  <c r="S523" i="17"/>
  <c r="R523" i="17"/>
  <c r="Q523" i="17"/>
  <c r="T522" i="17"/>
  <c r="S522" i="17"/>
  <c r="R522" i="17"/>
  <c r="Q522" i="17"/>
  <c r="T521" i="17"/>
  <c r="S521" i="17"/>
  <c r="R521" i="17"/>
  <c r="Q521" i="17"/>
  <c r="T520" i="17"/>
  <c r="S520" i="17"/>
  <c r="R520" i="17"/>
  <c r="Q520" i="17"/>
  <c r="T519" i="17"/>
  <c r="S519" i="17"/>
  <c r="R519" i="17"/>
  <c r="Q519" i="17"/>
  <c r="T518" i="17"/>
  <c r="S518" i="17"/>
  <c r="R518" i="17"/>
  <c r="Q518" i="17"/>
  <c r="T517" i="17"/>
  <c r="S517" i="17"/>
  <c r="R517" i="17"/>
  <c r="Q517" i="17"/>
  <c r="T516" i="17"/>
  <c r="S516" i="17"/>
  <c r="R516" i="17"/>
  <c r="Q516" i="17"/>
  <c r="T515" i="17"/>
  <c r="S515" i="17"/>
  <c r="R515" i="17"/>
  <c r="Q515" i="17"/>
  <c r="T514" i="17"/>
  <c r="S514" i="17"/>
  <c r="R514" i="17"/>
  <c r="Q514" i="17"/>
  <c r="T513" i="17"/>
  <c r="S513" i="17"/>
  <c r="R513" i="17"/>
  <c r="Q513" i="17"/>
  <c r="T512" i="17"/>
  <c r="S512" i="17"/>
  <c r="R512" i="17"/>
  <c r="Q512" i="17"/>
  <c r="T511" i="17"/>
  <c r="S511" i="17"/>
  <c r="R511" i="17"/>
  <c r="Q511" i="17"/>
  <c r="T510" i="17"/>
  <c r="S510" i="17"/>
  <c r="R510" i="17"/>
  <c r="Q510" i="17"/>
  <c r="T509" i="17"/>
  <c r="S509" i="17"/>
  <c r="R509" i="17"/>
  <c r="Q509" i="17"/>
  <c r="T508" i="17"/>
  <c r="S508" i="17"/>
  <c r="R508" i="17"/>
  <c r="Q508" i="17"/>
  <c r="T507" i="17"/>
  <c r="S507" i="17"/>
  <c r="R507" i="17"/>
  <c r="Q507" i="17"/>
  <c r="T506" i="17"/>
  <c r="S506" i="17"/>
  <c r="R506" i="17"/>
  <c r="Q506" i="17"/>
  <c r="T505" i="17"/>
  <c r="S505" i="17"/>
  <c r="R505" i="17"/>
  <c r="Q505" i="17"/>
  <c r="T504" i="17"/>
  <c r="S504" i="17"/>
  <c r="R504" i="17"/>
  <c r="Q504" i="17"/>
  <c r="T503" i="17"/>
  <c r="S503" i="17"/>
  <c r="R503" i="17"/>
  <c r="Q503" i="17"/>
  <c r="T502" i="17"/>
  <c r="S502" i="17"/>
  <c r="R502" i="17"/>
  <c r="Q502" i="17"/>
  <c r="T501" i="17"/>
  <c r="S501" i="17"/>
  <c r="R501" i="17"/>
  <c r="Q501" i="17"/>
  <c r="T500" i="17"/>
  <c r="S500" i="17"/>
  <c r="R500" i="17"/>
  <c r="Q500" i="17"/>
  <c r="T499" i="17"/>
  <c r="S499" i="17"/>
  <c r="R499" i="17"/>
  <c r="Q499" i="17"/>
  <c r="T498" i="17"/>
  <c r="S498" i="17"/>
  <c r="R498" i="17"/>
  <c r="Q498" i="17"/>
  <c r="T497" i="17"/>
  <c r="S497" i="17"/>
  <c r="R497" i="17"/>
  <c r="Q497" i="17"/>
  <c r="T496" i="17"/>
  <c r="S496" i="17"/>
  <c r="R496" i="17"/>
  <c r="Q496" i="17"/>
  <c r="T495" i="17"/>
  <c r="S495" i="17"/>
  <c r="R495" i="17"/>
  <c r="Q495" i="17"/>
  <c r="T494" i="17"/>
  <c r="S494" i="17"/>
  <c r="R494" i="17"/>
  <c r="Q494" i="17"/>
  <c r="T493" i="17"/>
  <c r="S493" i="17"/>
  <c r="R493" i="17"/>
  <c r="Q493" i="17"/>
  <c r="T492" i="17"/>
  <c r="S492" i="17"/>
  <c r="R492" i="17"/>
  <c r="Q492" i="17"/>
  <c r="T491" i="17"/>
  <c r="S491" i="17"/>
  <c r="R491" i="17"/>
  <c r="Q491" i="17"/>
  <c r="T490" i="17"/>
  <c r="S490" i="17"/>
  <c r="R490" i="17"/>
  <c r="Q490" i="17"/>
  <c r="T489" i="17"/>
  <c r="S489" i="17"/>
  <c r="R489" i="17"/>
  <c r="Q489" i="17"/>
  <c r="T488" i="17"/>
  <c r="S488" i="17"/>
  <c r="R488" i="17"/>
  <c r="Q488" i="17"/>
  <c r="T487" i="17"/>
  <c r="S487" i="17"/>
  <c r="R487" i="17"/>
  <c r="Q487" i="17"/>
  <c r="T486" i="17"/>
  <c r="S486" i="17"/>
  <c r="R486" i="17"/>
  <c r="Q486" i="17"/>
  <c r="T485" i="17"/>
  <c r="S485" i="17"/>
  <c r="R485" i="17"/>
  <c r="Q485" i="17"/>
  <c r="T484" i="17"/>
  <c r="S484" i="17"/>
  <c r="R484" i="17"/>
  <c r="Q484" i="17"/>
  <c r="T483" i="17"/>
  <c r="S483" i="17"/>
  <c r="R483" i="17"/>
  <c r="Q483" i="17"/>
  <c r="T482" i="17"/>
  <c r="S482" i="17"/>
  <c r="R482" i="17"/>
  <c r="Q482" i="17"/>
  <c r="T481" i="17"/>
  <c r="S481" i="17"/>
  <c r="R481" i="17"/>
  <c r="Q481" i="17"/>
  <c r="T480" i="17"/>
  <c r="S480" i="17"/>
  <c r="R480" i="17"/>
  <c r="Q480" i="17"/>
  <c r="T479" i="17"/>
  <c r="S479" i="17"/>
  <c r="R479" i="17"/>
  <c r="Q479" i="17"/>
  <c r="T478" i="17"/>
  <c r="S478" i="17"/>
  <c r="R478" i="17"/>
  <c r="Q478" i="17"/>
  <c r="T477" i="17"/>
  <c r="S477" i="17"/>
  <c r="R477" i="17"/>
  <c r="Q477" i="17"/>
  <c r="T476" i="17"/>
  <c r="S476" i="17"/>
  <c r="R476" i="17"/>
  <c r="Q476" i="17"/>
  <c r="T475" i="17"/>
  <c r="S475" i="17"/>
  <c r="R475" i="17"/>
  <c r="Q475" i="17"/>
  <c r="T474" i="17"/>
  <c r="S474" i="17"/>
  <c r="R474" i="17"/>
  <c r="Q474" i="17"/>
  <c r="T472" i="17"/>
  <c r="S472" i="17"/>
  <c r="R472" i="17"/>
  <c r="Q472" i="17"/>
  <c r="T471" i="17"/>
  <c r="S471" i="17"/>
  <c r="R471" i="17"/>
  <c r="Q471" i="17"/>
  <c r="T470" i="17"/>
  <c r="S470" i="17"/>
  <c r="R470" i="17"/>
  <c r="Q470" i="17"/>
  <c r="T469" i="17"/>
  <c r="S469" i="17"/>
  <c r="R469" i="17"/>
  <c r="Q469" i="17"/>
  <c r="T468" i="17"/>
  <c r="S468" i="17"/>
  <c r="R468" i="17"/>
  <c r="Q468" i="17"/>
  <c r="T467" i="17"/>
  <c r="S467" i="17"/>
  <c r="R467" i="17"/>
  <c r="Q467" i="17"/>
  <c r="T466" i="17"/>
  <c r="S466" i="17"/>
  <c r="R466" i="17"/>
  <c r="Q466" i="17"/>
  <c r="T465" i="17"/>
  <c r="S465" i="17"/>
  <c r="R465" i="17"/>
  <c r="Q465" i="17"/>
  <c r="T464" i="17"/>
  <c r="S464" i="17"/>
  <c r="R464" i="17"/>
  <c r="Q464" i="17"/>
  <c r="T463" i="17"/>
  <c r="S463" i="17"/>
  <c r="R463" i="17"/>
  <c r="Q463" i="17"/>
  <c r="T462" i="17"/>
  <c r="S462" i="17"/>
  <c r="R462" i="17"/>
  <c r="Q462" i="17"/>
  <c r="T461" i="17"/>
  <c r="S461" i="17"/>
  <c r="R461" i="17"/>
  <c r="Q461" i="17"/>
  <c r="T460" i="17"/>
  <c r="S460" i="17"/>
  <c r="R460" i="17"/>
  <c r="Q460" i="17"/>
  <c r="T459" i="17"/>
  <c r="S459" i="17"/>
  <c r="R459" i="17"/>
  <c r="Q459" i="17"/>
  <c r="T458" i="17"/>
  <c r="S458" i="17"/>
  <c r="R458" i="17"/>
  <c r="Q458" i="17"/>
  <c r="T457" i="17"/>
  <c r="S457" i="17"/>
  <c r="R457" i="17"/>
  <c r="Q457" i="17"/>
  <c r="T456" i="17"/>
  <c r="S456" i="17"/>
  <c r="R456" i="17"/>
  <c r="Q456" i="17"/>
  <c r="T455" i="17"/>
  <c r="S455" i="17"/>
  <c r="R455" i="17"/>
  <c r="Q455" i="17"/>
  <c r="T454" i="17"/>
  <c r="S454" i="17"/>
  <c r="R454" i="17"/>
  <c r="Q454" i="17"/>
  <c r="T452" i="17"/>
  <c r="S452" i="17"/>
  <c r="R452" i="17"/>
  <c r="Q452" i="17"/>
  <c r="T451" i="17"/>
  <c r="S451" i="17"/>
  <c r="R451" i="17"/>
  <c r="Q451" i="17"/>
  <c r="T449" i="17"/>
  <c r="S449" i="17"/>
  <c r="R449" i="17"/>
  <c r="Q449" i="17"/>
  <c r="T448" i="17"/>
  <c r="S448" i="17"/>
  <c r="R448" i="17"/>
  <c r="Q448" i="17"/>
  <c r="T446" i="17"/>
  <c r="S446" i="17"/>
  <c r="R446" i="17"/>
  <c r="Q446" i="17"/>
  <c r="T445" i="17"/>
  <c r="S445" i="17"/>
  <c r="R445" i="17"/>
  <c r="Q445" i="17"/>
  <c r="T444" i="17"/>
  <c r="S444" i="17"/>
  <c r="R444" i="17"/>
  <c r="Q444" i="17"/>
  <c r="T443" i="17"/>
  <c r="S443" i="17"/>
  <c r="R443" i="17"/>
  <c r="Q443" i="17"/>
  <c r="T441" i="17"/>
  <c r="S441" i="17"/>
  <c r="R441" i="17"/>
  <c r="Q441" i="17"/>
  <c r="T440" i="17"/>
  <c r="S440" i="17"/>
  <c r="R440" i="17"/>
  <c r="Q440" i="17"/>
  <c r="T438" i="17"/>
  <c r="S438" i="17"/>
  <c r="R438" i="17"/>
  <c r="Q438" i="17"/>
  <c r="T437" i="17"/>
  <c r="S437" i="17"/>
  <c r="R437" i="17"/>
  <c r="Q437" i="17"/>
  <c r="T436" i="17"/>
  <c r="S436" i="17"/>
  <c r="R436" i="17"/>
  <c r="Q436" i="17"/>
  <c r="T435" i="17"/>
  <c r="S435" i="17"/>
  <c r="R435" i="17"/>
  <c r="Q435" i="17"/>
  <c r="T434" i="17"/>
  <c r="S434" i="17"/>
  <c r="R434" i="17"/>
  <c r="Q434" i="17"/>
  <c r="T433" i="17"/>
  <c r="S433" i="17"/>
  <c r="R433" i="17"/>
  <c r="Q433" i="17"/>
  <c r="T432" i="17"/>
  <c r="S432" i="17"/>
  <c r="R432" i="17"/>
  <c r="Q432" i="17"/>
  <c r="T431" i="17"/>
  <c r="S431" i="17"/>
  <c r="R431" i="17"/>
  <c r="Q431" i="17"/>
  <c r="T430" i="17"/>
  <c r="S430" i="17"/>
  <c r="R430" i="17"/>
  <c r="Q430" i="17"/>
  <c r="T429" i="17"/>
  <c r="S429" i="17"/>
  <c r="R429" i="17"/>
  <c r="Q429" i="17"/>
  <c r="T428" i="17"/>
  <c r="S428" i="17"/>
  <c r="R428" i="17"/>
  <c r="Q428" i="17"/>
  <c r="T427" i="17"/>
  <c r="S427" i="17"/>
  <c r="R427" i="17"/>
  <c r="Q427" i="17"/>
  <c r="T426" i="17"/>
  <c r="S426" i="17"/>
  <c r="R426" i="17"/>
  <c r="Q426" i="17"/>
  <c r="T425" i="17"/>
  <c r="S425" i="17"/>
  <c r="R425" i="17"/>
  <c r="Q425" i="17"/>
  <c r="T424" i="17"/>
  <c r="S424" i="17"/>
  <c r="R424" i="17"/>
  <c r="Q424" i="17"/>
  <c r="T423" i="17"/>
  <c r="S423" i="17"/>
  <c r="R423" i="17"/>
  <c r="Q423" i="17"/>
  <c r="T422" i="17"/>
  <c r="S422" i="17"/>
  <c r="R422" i="17"/>
  <c r="Q422" i="17"/>
  <c r="T421" i="17"/>
  <c r="S421" i="17"/>
  <c r="R421" i="17"/>
  <c r="Q421" i="17"/>
  <c r="T419" i="17"/>
  <c r="S419" i="17"/>
  <c r="R419" i="17"/>
  <c r="Q419" i="17"/>
  <c r="T418" i="17"/>
  <c r="S418" i="17"/>
  <c r="R418" i="17"/>
  <c r="Q418" i="17"/>
  <c r="T417" i="17"/>
  <c r="S417" i="17"/>
  <c r="R417" i="17"/>
  <c r="Q417" i="17"/>
  <c r="T416" i="17"/>
  <c r="S416" i="17"/>
  <c r="R416" i="17"/>
  <c r="Q416" i="17"/>
  <c r="T415" i="17"/>
  <c r="S415" i="17"/>
  <c r="R415" i="17"/>
  <c r="Q415" i="17"/>
  <c r="T414" i="17"/>
  <c r="S414" i="17"/>
  <c r="R414" i="17"/>
  <c r="Q414" i="17"/>
  <c r="T413" i="17"/>
  <c r="S413" i="17"/>
  <c r="R413" i="17"/>
  <c r="Q413" i="17"/>
  <c r="T411" i="17"/>
  <c r="S411" i="17"/>
  <c r="R411" i="17"/>
  <c r="Q411" i="17"/>
  <c r="T410" i="17"/>
  <c r="S410" i="17"/>
  <c r="R410" i="17"/>
  <c r="Q410" i="17"/>
  <c r="T409" i="17"/>
  <c r="S409" i="17"/>
  <c r="R409" i="17"/>
  <c r="Q409" i="17"/>
  <c r="T408" i="17"/>
  <c r="S408" i="17"/>
  <c r="R408" i="17"/>
  <c r="Q408" i="17"/>
  <c r="T407" i="17"/>
  <c r="S407" i="17"/>
  <c r="R407" i="17"/>
  <c r="Q407" i="17"/>
  <c r="T406" i="17"/>
  <c r="S406" i="17"/>
  <c r="R406" i="17"/>
  <c r="Q406" i="17"/>
  <c r="T405" i="17"/>
  <c r="S405" i="17"/>
  <c r="R405" i="17"/>
  <c r="Q405" i="17"/>
  <c r="T404" i="17"/>
  <c r="S404" i="17"/>
  <c r="R404" i="17"/>
  <c r="Q404" i="17"/>
  <c r="T403" i="17"/>
  <c r="S403" i="17"/>
  <c r="R403" i="17"/>
  <c r="Q403" i="17"/>
  <c r="T402" i="17"/>
  <c r="S402" i="17"/>
  <c r="R402" i="17"/>
  <c r="Q402" i="17"/>
  <c r="T401" i="17"/>
  <c r="S401" i="17"/>
  <c r="R401" i="17"/>
  <c r="Q401" i="17"/>
  <c r="T400" i="17"/>
  <c r="S400" i="17"/>
  <c r="R400" i="17"/>
  <c r="Q400" i="17"/>
  <c r="T399" i="17"/>
  <c r="S399" i="17"/>
  <c r="R399" i="17"/>
  <c r="Q399" i="17"/>
  <c r="T398" i="17"/>
  <c r="S398" i="17"/>
  <c r="R398" i="17"/>
  <c r="Q398" i="17"/>
  <c r="T397" i="17"/>
  <c r="S397" i="17"/>
  <c r="R397" i="17"/>
  <c r="Q397" i="17"/>
  <c r="T396" i="17"/>
  <c r="S396" i="17"/>
  <c r="R396" i="17"/>
  <c r="Q396" i="17"/>
  <c r="T394" i="17"/>
  <c r="S394" i="17"/>
  <c r="R394" i="17"/>
  <c r="Q394" i="17"/>
  <c r="T393" i="17"/>
  <c r="S393" i="17"/>
  <c r="R393" i="17"/>
  <c r="Q393" i="17"/>
  <c r="T392" i="17"/>
  <c r="S392" i="17"/>
  <c r="R392" i="17"/>
  <c r="Q392" i="17"/>
  <c r="T391" i="17"/>
  <c r="S391" i="17"/>
  <c r="R391" i="17"/>
  <c r="Q391" i="17"/>
  <c r="T390" i="17"/>
  <c r="S390" i="17"/>
  <c r="R390" i="17"/>
  <c r="Q390" i="17"/>
  <c r="T389" i="17"/>
  <c r="S389" i="17"/>
  <c r="R389" i="17"/>
  <c r="Q389" i="17"/>
  <c r="T388" i="17"/>
  <c r="S388" i="17"/>
  <c r="R388" i="17"/>
  <c r="Q388" i="17"/>
  <c r="T387" i="17"/>
  <c r="S387" i="17"/>
  <c r="R387" i="17"/>
  <c r="Q387" i="17"/>
  <c r="T386" i="17"/>
  <c r="S386" i="17"/>
  <c r="R386" i="17"/>
  <c r="Q386" i="17"/>
  <c r="T385" i="17"/>
  <c r="S385" i="17"/>
  <c r="R385" i="17"/>
  <c r="Q385" i="17"/>
  <c r="T384" i="17"/>
  <c r="S384" i="17"/>
  <c r="R384" i="17"/>
  <c r="Q384" i="17"/>
  <c r="T383" i="17"/>
  <c r="S383" i="17"/>
  <c r="R383" i="17"/>
  <c r="Q383" i="17"/>
  <c r="T382" i="17"/>
  <c r="S382" i="17"/>
  <c r="R382" i="17"/>
  <c r="Q382" i="17"/>
  <c r="T381" i="17"/>
  <c r="S381" i="17"/>
  <c r="R381" i="17"/>
  <c r="Q381" i="17"/>
  <c r="T380" i="17"/>
  <c r="S380" i="17"/>
  <c r="R380" i="17"/>
  <c r="Q380" i="17"/>
  <c r="T379" i="17"/>
  <c r="S379" i="17"/>
  <c r="R379" i="17"/>
  <c r="Q379" i="17"/>
  <c r="T378" i="17"/>
  <c r="S378" i="17"/>
  <c r="R378" i="17"/>
  <c r="Q378" i="17"/>
  <c r="T377" i="17"/>
  <c r="S377" i="17"/>
  <c r="R377" i="17"/>
  <c r="Q377" i="17"/>
  <c r="T376" i="17"/>
  <c r="S376" i="17"/>
  <c r="R376" i="17"/>
  <c r="Q376" i="17"/>
  <c r="T375" i="17"/>
  <c r="S375" i="17"/>
  <c r="R375" i="17"/>
  <c r="Q375" i="17"/>
  <c r="T374" i="17"/>
  <c r="S374" i="17"/>
  <c r="R374" i="17"/>
  <c r="Q374" i="17"/>
  <c r="T373" i="17"/>
  <c r="S373" i="17"/>
  <c r="R373" i="17"/>
  <c r="Q373" i="17"/>
  <c r="T372" i="17"/>
  <c r="S372" i="17"/>
  <c r="R372" i="17"/>
  <c r="Q372" i="17"/>
  <c r="T371" i="17"/>
  <c r="S371" i="17"/>
  <c r="R371" i="17"/>
  <c r="Q371" i="17"/>
  <c r="T370" i="17"/>
  <c r="S370" i="17"/>
  <c r="R370" i="17"/>
  <c r="Q370" i="17"/>
  <c r="T369" i="17"/>
  <c r="S369" i="17"/>
  <c r="R369" i="17"/>
  <c r="Q369" i="17"/>
  <c r="T368" i="17"/>
  <c r="S368" i="17"/>
  <c r="R368" i="17"/>
  <c r="Q368" i="17"/>
  <c r="T367" i="17"/>
  <c r="S367" i="17"/>
  <c r="R367" i="17"/>
  <c r="Q367" i="17"/>
  <c r="T366" i="17"/>
  <c r="S366" i="17"/>
  <c r="R366" i="17"/>
  <c r="Q366" i="17"/>
  <c r="T365" i="17"/>
  <c r="S365" i="17"/>
  <c r="R365" i="17"/>
  <c r="Q365" i="17"/>
  <c r="T364" i="17"/>
  <c r="S364" i="17"/>
  <c r="R364" i="17"/>
  <c r="Q364" i="17"/>
  <c r="T363" i="17"/>
  <c r="S363" i="17"/>
  <c r="R363" i="17"/>
  <c r="Q363" i="17"/>
  <c r="T362" i="17"/>
  <c r="S362" i="17"/>
  <c r="R362" i="17"/>
  <c r="Q362" i="17"/>
  <c r="T361" i="17"/>
  <c r="S361" i="17"/>
  <c r="R361" i="17"/>
  <c r="Q361" i="17"/>
  <c r="T360" i="17"/>
  <c r="S360" i="17"/>
  <c r="R360" i="17"/>
  <c r="Q360" i="17"/>
  <c r="T359" i="17"/>
  <c r="S359" i="17"/>
  <c r="R359" i="17"/>
  <c r="Q359" i="17"/>
  <c r="T358" i="17"/>
  <c r="S358" i="17"/>
  <c r="R358" i="17"/>
  <c r="Q358" i="17"/>
  <c r="T357" i="17"/>
  <c r="S357" i="17"/>
  <c r="R357" i="17"/>
  <c r="Q357" i="17"/>
  <c r="T356" i="17"/>
  <c r="S356" i="17"/>
  <c r="R356" i="17"/>
  <c r="Q356" i="17"/>
  <c r="T355" i="17"/>
  <c r="S355" i="17"/>
  <c r="R355" i="17"/>
  <c r="Q355" i="17"/>
  <c r="T354" i="17"/>
  <c r="S354" i="17"/>
  <c r="R354" i="17"/>
  <c r="Q354" i="17"/>
  <c r="T353" i="17"/>
  <c r="S353" i="17"/>
  <c r="R353" i="17"/>
  <c r="Q353" i="17"/>
  <c r="T352" i="17"/>
  <c r="S352" i="17"/>
  <c r="R352" i="17"/>
  <c r="Q352" i="17"/>
  <c r="T351" i="17"/>
  <c r="S351" i="17"/>
  <c r="R351" i="17"/>
  <c r="Q351" i="17"/>
  <c r="T350" i="17"/>
  <c r="S350" i="17"/>
  <c r="R350" i="17"/>
  <c r="Q350" i="17"/>
  <c r="T349" i="17"/>
  <c r="S349" i="17"/>
  <c r="R349" i="17"/>
  <c r="Q349" i="17"/>
  <c r="T348" i="17"/>
  <c r="S348" i="17"/>
  <c r="R348" i="17"/>
  <c r="Q348" i="17"/>
  <c r="T347" i="17"/>
  <c r="S347" i="17"/>
  <c r="R347" i="17"/>
  <c r="Q347" i="17"/>
  <c r="T346" i="17"/>
  <c r="S346" i="17"/>
  <c r="R346" i="17"/>
  <c r="Q346" i="17"/>
  <c r="T345" i="17"/>
  <c r="S345" i="17"/>
  <c r="R345" i="17"/>
  <c r="Q345" i="17"/>
  <c r="T344" i="17"/>
  <c r="S344" i="17"/>
  <c r="R344" i="17"/>
  <c r="Q344" i="17"/>
  <c r="T343" i="17"/>
  <c r="S343" i="17"/>
  <c r="R343" i="17"/>
  <c r="Q343" i="17"/>
  <c r="T342" i="17"/>
  <c r="S342" i="17"/>
  <c r="R342" i="17"/>
  <c r="Q342" i="17"/>
  <c r="T341" i="17"/>
  <c r="S341" i="17"/>
  <c r="R341" i="17"/>
  <c r="Q341" i="17"/>
  <c r="T340" i="17"/>
  <c r="S340" i="17"/>
  <c r="R340" i="17"/>
  <c r="Q340" i="17"/>
  <c r="T339" i="17"/>
  <c r="S339" i="17"/>
  <c r="R339" i="17"/>
  <c r="Q339" i="17"/>
  <c r="T338" i="17"/>
  <c r="S338" i="17"/>
  <c r="R338" i="17"/>
  <c r="Q338" i="17"/>
  <c r="T337" i="17"/>
  <c r="S337" i="17"/>
  <c r="R337" i="17"/>
  <c r="Q337" i="17"/>
  <c r="T336" i="17"/>
  <c r="S336" i="17"/>
  <c r="R336" i="17"/>
  <c r="Q336" i="17"/>
  <c r="T334" i="17"/>
  <c r="S334" i="17"/>
  <c r="R334" i="17"/>
  <c r="Q334" i="17"/>
  <c r="T333" i="17"/>
  <c r="S333" i="17"/>
  <c r="R333" i="17"/>
  <c r="Q333" i="17"/>
  <c r="T332" i="17"/>
  <c r="S332" i="17"/>
  <c r="R332" i="17"/>
  <c r="Q332" i="17"/>
  <c r="T331" i="17"/>
  <c r="S331" i="17"/>
  <c r="R331" i="17"/>
  <c r="Q331" i="17"/>
  <c r="T330" i="17"/>
  <c r="S330" i="17"/>
  <c r="R330" i="17"/>
  <c r="Q330" i="17"/>
  <c r="T329" i="17"/>
  <c r="S329" i="17"/>
  <c r="R329" i="17"/>
  <c r="Q329" i="17"/>
  <c r="T328" i="17"/>
  <c r="S328" i="17"/>
  <c r="R328" i="17"/>
  <c r="Q328" i="17"/>
  <c r="T327" i="17"/>
  <c r="S327" i="17"/>
  <c r="R327" i="17"/>
  <c r="Q327" i="17"/>
  <c r="T326" i="17"/>
  <c r="S326" i="17"/>
  <c r="R326" i="17"/>
  <c r="Q326" i="17"/>
  <c r="T325" i="17"/>
  <c r="S325" i="17"/>
  <c r="R325" i="17"/>
  <c r="Q325" i="17"/>
  <c r="T324" i="17"/>
  <c r="S324" i="17"/>
  <c r="R324" i="17"/>
  <c r="Q324" i="17"/>
  <c r="T323" i="17"/>
  <c r="S323" i="17"/>
  <c r="R323" i="17"/>
  <c r="Q323" i="17"/>
  <c r="T322" i="17"/>
  <c r="S322" i="17"/>
  <c r="R322" i="17"/>
  <c r="Q322" i="17"/>
  <c r="T321" i="17"/>
  <c r="S321" i="17"/>
  <c r="R321" i="17"/>
  <c r="Q321" i="17"/>
  <c r="T320" i="17"/>
  <c r="S320" i="17"/>
  <c r="R320" i="17"/>
  <c r="Q320" i="17"/>
  <c r="T319" i="17"/>
  <c r="S319" i="17"/>
  <c r="R319" i="17"/>
  <c r="Q319" i="17"/>
  <c r="T318" i="17"/>
  <c r="S318" i="17"/>
  <c r="R318" i="17"/>
  <c r="Q318" i="17"/>
  <c r="T317" i="17"/>
  <c r="S317" i="17"/>
  <c r="R317" i="17"/>
  <c r="Q317" i="17"/>
  <c r="T316" i="17"/>
  <c r="S316" i="17"/>
  <c r="R316" i="17"/>
  <c r="Q316" i="17"/>
  <c r="T315" i="17"/>
  <c r="S315" i="17"/>
  <c r="R315" i="17"/>
  <c r="Q315" i="17"/>
  <c r="T314" i="17"/>
  <c r="S314" i="17"/>
  <c r="R314" i="17"/>
  <c r="Q314" i="17"/>
  <c r="T313" i="17"/>
  <c r="S313" i="17"/>
  <c r="R313" i="17"/>
  <c r="Q313" i="17"/>
  <c r="T312" i="17"/>
  <c r="S312" i="17"/>
  <c r="R312" i="17"/>
  <c r="Q312" i="17"/>
  <c r="T311" i="17"/>
  <c r="S311" i="17"/>
  <c r="R311" i="17"/>
  <c r="Q311" i="17"/>
  <c r="T310" i="17"/>
  <c r="S310" i="17"/>
  <c r="R310" i="17"/>
  <c r="Q310" i="17"/>
  <c r="T309" i="17"/>
  <c r="S309" i="17"/>
  <c r="R309" i="17"/>
  <c r="Q309" i="17"/>
  <c r="T308" i="17"/>
  <c r="S308" i="17"/>
  <c r="R308" i="17"/>
  <c r="Q308" i="17"/>
  <c r="T307" i="17"/>
  <c r="S307" i="17"/>
  <c r="R307" i="17"/>
  <c r="Q307" i="17"/>
  <c r="T306" i="17"/>
  <c r="S306" i="17"/>
  <c r="R306" i="17"/>
  <c r="Q306" i="17"/>
  <c r="T305" i="17"/>
  <c r="S305" i="17"/>
  <c r="R305" i="17"/>
  <c r="Q305" i="17"/>
  <c r="T304" i="17"/>
  <c r="S304" i="17"/>
  <c r="R304" i="17"/>
  <c r="Q304" i="17"/>
  <c r="T303" i="17"/>
  <c r="S303" i="17"/>
  <c r="R303" i="17"/>
  <c r="Q303" i="17"/>
  <c r="T302" i="17"/>
  <c r="S302" i="17"/>
  <c r="R302" i="17"/>
  <c r="Q302" i="17"/>
  <c r="T301" i="17"/>
  <c r="S301" i="17"/>
  <c r="R301" i="17"/>
  <c r="Q301" i="17"/>
  <c r="T300" i="17"/>
  <c r="S300" i="17"/>
  <c r="R300" i="17"/>
  <c r="Q300" i="17"/>
  <c r="T299" i="17"/>
  <c r="S299" i="17"/>
  <c r="R299" i="17"/>
  <c r="Q299" i="17"/>
  <c r="T298" i="17"/>
  <c r="S298" i="17"/>
  <c r="R298" i="17"/>
  <c r="Q298" i="17"/>
  <c r="T297" i="17"/>
  <c r="S297" i="17"/>
  <c r="R297" i="17"/>
  <c r="Q297" i="17"/>
  <c r="T296" i="17"/>
  <c r="S296" i="17"/>
  <c r="R296" i="17"/>
  <c r="Q296" i="17"/>
  <c r="T295" i="17"/>
  <c r="S295" i="17"/>
  <c r="R295" i="17"/>
  <c r="Q295" i="17"/>
  <c r="T294" i="17"/>
  <c r="S294" i="17"/>
  <c r="R294" i="17"/>
  <c r="Q294" i="17"/>
  <c r="T293" i="17"/>
  <c r="S293" i="17"/>
  <c r="R293" i="17"/>
  <c r="Q293" i="17"/>
  <c r="T292" i="17"/>
  <c r="S292" i="17"/>
  <c r="R292" i="17"/>
  <c r="Q292" i="17"/>
  <c r="T291" i="17"/>
  <c r="S291" i="17"/>
  <c r="R291" i="17"/>
  <c r="Q291" i="17"/>
  <c r="T290" i="17"/>
  <c r="S290" i="17"/>
  <c r="R290" i="17"/>
  <c r="Q290" i="17"/>
  <c r="T289" i="17"/>
  <c r="S289" i="17"/>
  <c r="R289" i="17"/>
  <c r="Q289" i="17"/>
  <c r="T288" i="17"/>
  <c r="S288" i="17"/>
  <c r="R288" i="17"/>
  <c r="Q288" i="17"/>
  <c r="T287" i="17"/>
  <c r="S287" i="17"/>
  <c r="R287" i="17"/>
  <c r="Q287" i="17"/>
  <c r="T286" i="17"/>
  <c r="S286" i="17"/>
  <c r="R286" i="17"/>
  <c r="Q286" i="17"/>
  <c r="T285" i="17"/>
  <c r="S285" i="17"/>
  <c r="R285" i="17"/>
  <c r="Q285" i="17"/>
  <c r="T284" i="17"/>
  <c r="S284" i="17"/>
  <c r="R284" i="17"/>
  <c r="Q284" i="17"/>
  <c r="T283" i="17"/>
  <c r="S283" i="17"/>
  <c r="R283" i="17"/>
  <c r="Q283" i="17"/>
  <c r="T282" i="17"/>
  <c r="S282" i="17"/>
  <c r="R282" i="17"/>
  <c r="Q282" i="17"/>
  <c r="T281" i="17"/>
  <c r="S281" i="17"/>
  <c r="R281" i="17"/>
  <c r="Q281" i="17"/>
  <c r="T280" i="17"/>
  <c r="S280" i="17"/>
  <c r="R280" i="17"/>
  <c r="Q280" i="17"/>
  <c r="T279" i="17"/>
  <c r="S279" i="17"/>
  <c r="R279" i="17"/>
  <c r="Q279" i="17"/>
  <c r="T278" i="17"/>
  <c r="S278" i="17"/>
  <c r="R278" i="17"/>
  <c r="Q278" i="17"/>
  <c r="T277" i="17"/>
  <c r="S277" i="17"/>
  <c r="R277" i="17"/>
  <c r="Q277" i="17"/>
  <c r="T276" i="17"/>
  <c r="S276" i="17"/>
  <c r="R276" i="17"/>
  <c r="Q276" i="17"/>
  <c r="T275" i="17"/>
  <c r="S275" i="17"/>
  <c r="R275" i="17"/>
  <c r="Q275" i="17"/>
  <c r="T274" i="17"/>
  <c r="S274" i="17"/>
  <c r="R274" i="17"/>
  <c r="Q274" i="17"/>
  <c r="T273" i="17"/>
  <c r="S273" i="17"/>
  <c r="R273" i="17"/>
  <c r="Q273" i="17"/>
  <c r="T272" i="17"/>
  <c r="S272" i="17"/>
  <c r="R272" i="17"/>
  <c r="Q272" i="17"/>
  <c r="T271" i="17"/>
  <c r="S271" i="17"/>
  <c r="R271" i="17"/>
  <c r="Q271" i="17"/>
  <c r="T270" i="17"/>
  <c r="S270" i="17"/>
  <c r="R270" i="17"/>
  <c r="Q270" i="17"/>
  <c r="T269" i="17"/>
  <c r="S269" i="17"/>
  <c r="R269" i="17"/>
  <c r="Q269" i="17"/>
  <c r="T268" i="17"/>
  <c r="S268" i="17"/>
  <c r="R268" i="17"/>
  <c r="Q268" i="17"/>
  <c r="T267" i="17"/>
  <c r="S267" i="17"/>
  <c r="R267" i="17"/>
  <c r="Q267" i="17"/>
  <c r="T266" i="17"/>
  <c r="S266" i="17"/>
  <c r="R266" i="17"/>
  <c r="Q266" i="17"/>
  <c r="T265" i="17"/>
  <c r="S265" i="17"/>
  <c r="R265" i="17"/>
  <c r="Q265" i="17"/>
  <c r="T263" i="17"/>
  <c r="S263" i="17"/>
  <c r="R263" i="17"/>
  <c r="Q263" i="17"/>
  <c r="T262" i="17"/>
  <c r="S262" i="17"/>
  <c r="R262" i="17"/>
  <c r="Q262" i="17"/>
  <c r="T261" i="17"/>
  <c r="S261" i="17"/>
  <c r="R261" i="17"/>
  <c r="Q261" i="17"/>
  <c r="T260" i="17"/>
  <c r="S260" i="17"/>
  <c r="R260" i="17"/>
  <c r="Q260" i="17"/>
  <c r="T259" i="17"/>
  <c r="S259" i="17"/>
  <c r="R259" i="17"/>
  <c r="Q259" i="17"/>
  <c r="T258" i="17"/>
  <c r="S258" i="17"/>
  <c r="R258" i="17"/>
  <c r="Q258" i="17"/>
  <c r="T257" i="17"/>
  <c r="S257" i="17"/>
  <c r="R257" i="17"/>
  <c r="Q257" i="17"/>
  <c r="T256" i="17"/>
  <c r="S256" i="17"/>
  <c r="R256" i="17"/>
  <c r="Q256" i="17"/>
  <c r="T255" i="17"/>
  <c r="S255" i="17"/>
  <c r="R255" i="17"/>
  <c r="Q255" i="17"/>
  <c r="T254" i="17"/>
  <c r="S254" i="17"/>
  <c r="R254" i="17"/>
  <c r="Q254" i="17"/>
  <c r="T253" i="17"/>
  <c r="S253" i="17"/>
  <c r="R253" i="17"/>
  <c r="Q253" i="17"/>
  <c r="T252" i="17"/>
  <c r="S252" i="17"/>
  <c r="R252" i="17"/>
  <c r="Q252" i="17"/>
  <c r="T251" i="17"/>
  <c r="S251" i="17"/>
  <c r="R251" i="17"/>
  <c r="Q251" i="17"/>
  <c r="T250" i="17"/>
  <c r="S250" i="17"/>
  <c r="R250" i="17"/>
  <c r="Q250" i="17"/>
  <c r="T249" i="17"/>
  <c r="S249" i="17"/>
  <c r="R249" i="17"/>
  <c r="Q249" i="17"/>
  <c r="T248" i="17"/>
  <c r="S248" i="17"/>
  <c r="R248" i="17"/>
  <c r="Q248" i="17"/>
  <c r="T247" i="17"/>
  <c r="S247" i="17"/>
  <c r="R247" i="17"/>
  <c r="Q247" i="17"/>
  <c r="T246" i="17"/>
  <c r="S246" i="17"/>
  <c r="R246" i="17"/>
  <c r="Q246" i="17"/>
  <c r="T245" i="17"/>
  <c r="S245" i="17"/>
  <c r="R245" i="17"/>
  <c r="Q245" i="17"/>
  <c r="T243" i="17"/>
  <c r="S243" i="17"/>
  <c r="R243" i="17"/>
  <c r="Q243" i="17"/>
  <c r="T242" i="17"/>
  <c r="S242" i="17"/>
  <c r="R242" i="17"/>
  <c r="Q242" i="17"/>
  <c r="T240" i="17"/>
  <c r="S240" i="17"/>
  <c r="R240" i="17"/>
  <c r="Q240" i="17"/>
  <c r="T239" i="17"/>
  <c r="S239" i="17"/>
  <c r="R239" i="17"/>
  <c r="Q239" i="17"/>
  <c r="T237" i="17"/>
  <c r="S237" i="17"/>
  <c r="R237" i="17"/>
  <c r="Q237" i="17"/>
  <c r="T236" i="17"/>
  <c r="S236" i="17"/>
  <c r="R236" i="17"/>
  <c r="Q236" i="17"/>
  <c r="T235" i="17"/>
  <c r="S235" i="17"/>
  <c r="R235" i="17"/>
  <c r="Q235" i="17"/>
  <c r="T234" i="17"/>
  <c r="S234" i="17"/>
  <c r="R234" i="17"/>
  <c r="Q234" i="17"/>
  <c r="T232" i="17"/>
  <c r="S232" i="17"/>
  <c r="R232" i="17"/>
  <c r="Q232" i="17"/>
  <c r="T231" i="17"/>
  <c r="S231" i="17"/>
  <c r="R231" i="17"/>
  <c r="Q231" i="17"/>
  <c r="T229" i="17"/>
  <c r="S229" i="17"/>
  <c r="R229" i="17"/>
  <c r="Q229" i="17"/>
  <c r="T228" i="17"/>
  <c r="S228" i="17"/>
  <c r="R228" i="17"/>
  <c r="Q228" i="17"/>
  <c r="T227" i="17"/>
  <c r="S227" i="17"/>
  <c r="R227" i="17"/>
  <c r="Q227" i="17"/>
  <c r="T226" i="17"/>
  <c r="S226" i="17"/>
  <c r="R226" i="17"/>
  <c r="Q226" i="17"/>
  <c r="T225" i="17"/>
  <c r="S225" i="17"/>
  <c r="R225" i="17"/>
  <c r="Q225" i="17"/>
  <c r="T224" i="17"/>
  <c r="S224" i="17"/>
  <c r="R224" i="17"/>
  <c r="Q224" i="17"/>
  <c r="T223" i="17"/>
  <c r="S223" i="17"/>
  <c r="R223" i="17"/>
  <c r="Q223" i="17"/>
  <c r="T222" i="17"/>
  <c r="S222" i="17"/>
  <c r="R222" i="17"/>
  <c r="Q222" i="17"/>
  <c r="T221" i="17"/>
  <c r="S221" i="17"/>
  <c r="R221" i="17"/>
  <c r="Q221" i="17"/>
  <c r="T220" i="17"/>
  <c r="S220" i="17"/>
  <c r="R220" i="17"/>
  <c r="Q220" i="17"/>
  <c r="T219" i="17"/>
  <c r="S219" i="17"/>
  <c r="R219" i="17"/>
  <c r="Q219" i="17"/>
  <c r="T218" i="17"/>
  <c r="S218" i="17"/>
  <c r="R218" i="17"/>
  <c r="Q218" i="17"/>
  <c r="T217" i="17"/>
  <c r="S217" i="17"/>
  <c r="R217" i="17"/>
  <c r="Q217" i="17"/>
  <c r="T216" i="17"/>
  <c r="S216" i="17"/>
  <c r="R216" i="17"/>
  <c r="Q216" i="17"/>
  <c r="T215" i="17"/>
  <c r="S215" i="17"/>
  <c r="R215" i="17"/>
  <c r="Q215" i="17"/>
  <c r="T214" i="17"/>
  <c r="S214" i="17"/>
  <c r="R214" i="17"/>
  <c r="Q214" i="17"/>
  <c r="T213" i="17"/>
  <c r="S213" i="17"/>
  <c r="R213" i="17"/>
  <c r="Q213" i="17"/>
  <c r="AN4" i="17"/>
  <c r="AN3" i="17"/>
  <c r="V981" i="17" l="1"/>
  <c r="V666" i="17"/>
  <c r="V39" i="17"/>
  <c r="V38" i="17"/>
  <c r="V547" i="17"/>
  <c r="V863" i="17"/>
  <c r="V444" i="17"/>
  <c r="V653" i="17"/>
  <c r="V862" i="17"/>
  <c r="V652" i="17"/>
  <c r="V850" i="17"/>
  <c r="Q3" i="17"/>
  <c r="S3" i="17"/>
  <c r="T3" i="17"/>
  <c r="Q4" i="17"/>
  <c r="R4" i="17"/>
  <c r="S4" i="17"/>
  <c r="T4" i="17"/>
  <c r="V4" i="17"/>
  <c r="V213" i="17"/>
  <c r="V422" i="17"/>
  <c r="V631" i="17"/>
  <c r="V840" i="17"/>
  <c r="Q5" i="17"/>
  <c r="R5" i="17"/>
  <c r="S5" i="17"/>
  <c r="T5" i="17"/>
  <c r="V5" i="17"/>
  <c r="V214" i="17"/>
  <c r="V423" i="17"/>
  <c r="V632" i="17"/>
  <c r="V841" i="17"/>
  <c r="Q6" i="17"/>
  <c r="R6" i="17"/>
  <c r="S6" i="17"/>
  <c r="T6" i="17"/>
  <c r="V6" i="17"/>
  <c r="V215" i="17"/>
  <c r="V424" i="17"/>
  <c r="V633" i="17"/>
  <c r="V842" i="17"/>
  <c r="Q7" i="17"/>
  <c r="R7" i="17"/>
  <c r="S7" i="17"/>
  <c r="T7" i="17"/>
  <c r="V7" i="17"/>
  <c r="V216" i="17"/>
  <c r="V425" i="17"/>
  <c r="V634" i="17"/>
  <c r="V843" i="17"/>
  <c r="Q8" i="17"/>
  <c r="R8" i="17"/>
  <c r="S8" i="17"/>
  <c r="T8" i="17"/>
  <c r="V8" i="17"/>
  <c r="V217" i="17"/>
  <c r="V426" i="17"/>
  <c r="V635" i="17"/>
  <c r="V844" i="17"/>
  <c r="Q9" i="17"/>
  <c r="R9" i="17"/>
  <c r="S9" i="17"/>
  <c r="T9" i="17"/>
  <c r="V9" i="17"/>
  <c r="V218" i="17"/>
  <c r="V427" i="17"/>
  <c r="V636" i="17"/>
  <c r="V845" i="17"/>
  <c r="Q10" i="17"/>
  <c r="R10" i="17"/>
  <c r="S10" i="17"/>
  <c r="T10" i="17"/>
  <c r="V10" i="17"/>
  <c r="V219" i="17"/>
  <c r="V428" i="17"/>
  <c r="V637" i="17"/>
  <c r="V846" i="17"/>
  <c r="Q11" i="17"/>
  <c r="R11" i="17"/>
  <c r="S11" i="17"/>
  <c r="T11" i="17"/>
  <c r="V11" i="17"/>
  <c r="V220" i="17"/>
  <c r="V429" i="17"/>
  <c r="V638" i="17"/>
  <c r="V847" i="17"/>
  <c r="Q12" i="17"/>
  <c r="R12" i="17"/>
  <c r="S12" i="17"/>
  <c r="T12" i="17"/>
  <c r="V12" i="17"/>
  <c r="V221" i="17"/>
  <c r="V430" i="17"/>
  <c r="V639" i="17"/>
  <c r="V848" i="17"/>
  <c r="Q13" i="17"/>
  <c r="R13" i="17"/>
  <c r="S13" i="17"/>
  <c r="T13" i="17"/>
  <c r="V13" i="17"/>
  <c r="V222" i="17"/>
  <c r="V431" i="17"/>
  <c r="V640" i="17"/>
  <c r="V849" i="17"/>
  <c r="Q14" i="17"/>
  <c r="R14" i="17"/>
  <c r="S14" i="17"/>
  <c r="T14" i="17"/>
  <c r="V14" i="17"/>
  <c r="Q15" i="17"/>
  <c r="R15" i="17"/>
  <c r="S15" i="17"/>
  <c r="T15" i="17"/>
  <c r="Q16" i="17"/>
  <c r="R16" i="17"/>
  <c r="S16" i="17"/>
  <c r="T16" i="17"/>
  <c r="Q17" i="17"/>
  <c r="R17" i="17"/>
  <c r="S17" i="17"/>
  <c r="T17" i="17"/>
  <c r="Q18" i="17"/>
  <c r="R18" i="17"/>
  <c r="S18" i="17"/>
  <c r="T18" i="17"/>
  <c r="Q19" i="17"/>
  <c r="R19" i="17"/>
  <c r="S19" i="17"/>
  <c r="T19" i="17"/>
  <c r="Q20" i="17"/>
  <c r="R20" i="17"/>
  <c r="S20" i="17"/>
  <c r="T20" i="17"/>
  <c r="Q22" i="17"/>
  <c r="R22" i="17"/>
  <c r="S22" i="17"/>
  <c r="T22" i="17"/>
  <c r="Q23" i="17"/>
  <c r="R23" i="17"/>
  <c r="S23" i="17"/>
  <c r="T23" i="17"/>
  <c r="V23" i="17"/>
  <c r="V232" i="17"/>
  <c r="V441" i="17"/>
  <c r="V650" i="17"/>
  <c r="V859" i="17"/>
  <c r="Q25" i="17"/>
  <c r="R25" i="17"/>
  <c r="S25" i="17"/>
  <c r="T25" i="17"/>
  <c r="V234" i="17"/>
  <c r="V443" i="17"/>
  <c r="V861" i="17"/>
  <c r="Q26" i="17"/>
  <c r="R26" i="17"/>
  <c r="S26" i="17"/>
  <c r="T26" i="17"/>
  <c r="V235" i="17"/>
  <c r="Q27" i="17"/>
  <c r="R27" i="17"/>
  <c r="S27" i="17"/>
  <c r="T27" i="17"/>
  <c r="V236" i="17"/>
  <c r="V445" i="17"/>
  <c r="V654" i="17"/>
  <c r="Q28" i="17"/>
  <c r="R28" i="17"/>
  <c r="S28" i="17"/>
  <c r="T28" i="17"/>
  <c r="Q30" i="17"/>
  <c r="R30" i="17"/>
  <c r="S30" i="17"/>
  <c r="T30" i="17"/>
  <c r="Q31" i="17"/>
  <c r="R31" i="17"/>
  <c r="S31" i="17"/>
  <c r="T31" i="17"/>
  <c r="Q33" i="17"/>
  <c r="R33" i="17"/>
  <c r="S33" i="17"/>
  <c r="T33" i="17"/>
  <c r="Q34" i="17"/>
  <c r="R34" i="17"/>
  <c r="S34" i="17"/>
  <c r="T34" i="17"/>
  <c r="Q36" i="17"/>
  <c r="R36" i="17"/>
  <c r="S36" i="17"/>
  <c r="T36" i="17"/>
  <c r="Q37" i="17"/>
  <c r="R37" i="17"/>
  <c r="S37" i="17"/>
  <c r="T37" i="17"/>
  <c r="V246" i="17"/>
  <c r="V455" i="17"/>
  <c r="V664" i="17"/>
  <c r="V873" i="17"/>
  <c r="Q38" i="17"/>
  <c r="R38" i="17"/>
  <c r="S38" i="17"/>
  <c r="T38" i="17"/>
  <c r="V247" i="17"/>
  <c r="V456" i="17"/>
  <c r="V665" i="17"/>
  <c r="V874" i="17"/>
  <c r="Q39" i="17"/>
  <c r="R39" i="17"/>
  <c r="S39" i="17"/>
  <c r="T39" i="17"/>
  <c r="V457" i="17"/>
  <c r="V875" i="17"/>
  <c r="Q40" i="17"/>
  <c r="R40" i="17"/>
  <c r="S40" i="17"/>
  <c r="T40" i="17"/>
  <c r="Q41" i="17"/>
  <c r="R41" i="17"/>
  <c r="S41" i="17"/>
  <c r="T41" i="17"/>
  <c r="Q42" i="17"/>
  <c r="R42" i="17"/>
  <c r="S42" i="17"/>
  <c r="T42" i="17"/>
  <c r="Q43" i="17"/>
  <c r="R43" i="17"/>
  <c r="S43" i="17"/>
  <c r="T43" i="17"/>
  <c r="Q44" i="17"/>
  <c r="R44" i="17"/>
  <c r="S44" i="17"/>
  <c r="T44" i="17"/>
  <c r="Q45" i="17"/>
  <c r="R45" i="17"/>
  <c r="S45" i="17"/>
  <c r="T45" i="17"/>
  <c r="Q46" i="17"/>
  <c r="R46" i="17"/>
  <c r="S46" i="17"/>
  <c r="T46" i="17"/>
  <c r="Q47" i="17"/>
  <c r="R47" i="17"/>
  <c r="S47" i="17"/>
  <c r="T47" i="17"/>
  <c r="Q48" i="17"/>
  <c r="R48" i="17"/>
  <c r="S48" i="17"/>
  <c r="T48" i="17"/>
  <c r="Q49" i="17"/>
  <c r="R49" i="17"/>
  <c r="S49" i="17"/>
  <c r="T49" i="17"/>
  <c r="Q50" i="17"/>
  <c r="R50" i="17"/>
  <c r="S50" i="17"/>
  <c r="T50" i="17"/>
  <c r="Q51" i="17"/>
  <c r="R51" i="17"/>
  <c r="S51" i="17"/>
  <c r="T51" i="17"/>
  <c r="Q52" i="17"/>
  <c r="R52" i="17"/>
  <c r="S52" i="17"/>
  <c r="T52" i="17"/>
  <c r="Q53" i="17"/>
  <c r="R53" i="17"/>
  <c r="S53" i="17"/>
  <c r="T53" i="17"/>
  <c r="Q54" i="17"/>
  <c r="R54" i="17"/>
  <c r="S54" i="17"/>
  <c r="T54" i="17"/>
  <c r="Q56" i="17"/>
  <c r="R56" i="17"/>
  <c r="S56" i="17"/>
  <c r="T56" i="17"/>
  <c r="Q57" i="17"/>
  <c r="R57" i="17"/>
  <c r="S57" i="17"/>
  <c r="T57" i="17"/>
  <c r="Q58" i="17"/>
  <c r="R58" i="17"/>
  <c r="S58" i="17"/>
  <c r="T58" i="17"/>
  <c r="Q59" i="17"/>
  <c r="R59" i="17"/>
  <c r="S59" i="17"/>
  <c r="T59" i="17"/>
  <c r="Q60" i="17"/>
  <c r="R60" i="17"/>
  <c r="S60" i="17"/>
  <c r="T60" i="17"/>
  <c r="Q61" i="17"/>
  <c r="R61" i="17"/>
  <c r="S61" i="17"/>
  <c r="T61" i="17"/>
  <c r="Q62" i="17"/>
  <c r="R62" i="17"/>
  <c r="S62" i="17"/>
  <c r="T62" i="17"/>
  <c r="Q63" i="17"/>
  <c r="R63" i="17"/>
  <c r="S63" i="17"/>
  <c r="T63" i="17"/>
  <c r="Q64" i="17"/>
  <c r="R64" i="17"/>
  <c r="S64" i="17"/>
  <c r="T64" i="17"/>
  <c r="Q65" i="17"/>
  <c r="R65" i="17"/>
  <c r="S65" i="17"/>
  <c r="T65" i="17"/>
  <c r="Q66" i="17"/>
  <c r="R66" i="17"/>
  <c r="S66" i="17"/>
  <c r="T66" i="17"/>
  <c r="V484" i="17"/>
  <c r="V902" i="17"/>
  <c r="Q67" i="17"/>
  <c r="R67" i="17"/>
  <c r="S67" i="17"/>
  <c r="T67" i="17"/>
  <c r="Q68" i="17"/>
  <c r="R68" i="17"/>
  <c r="S68" i="17"/>
  <c r="T68" i="17"/>
  <c r="Q69" i="17"/>
  <c r="R69" i="17"/>
  <c r="S69" i="17"/>
  <c r="T69" i="17"/>
  <c r="Q70" i="17"/>
  <c r="R70" i="17"/>
  <c r="S70" i="17"/>
  <c r="T70" i="17"/>
  <c r="Q71" i="17"/>
  <c r="R71" i="17"/>
  <c r="S71" i="17"/>
  <c r="T71" i="17"/>
  <c r="Q72" i="17"/>
  <c r="R72" i="17"/>
  <c r="S72" i="17"/>
  <c r="T72" i="17"/>
  <c r="Q73" i="17"/>
  <c r="R73" i="17"/>
  <c r="S73" i="17"/>
  <c r="T73" i="17"/>
  <c r="Q74" i="17"/>
  <c r="R74" i="17"/>
  <c r="S74" i="17"/>
  <c r="T74" i="17"/>
  <c r="Q75" i="17"/>
  <c r="R75" i="17"/>
  <c r="S75" i="17"/>
  <c r="T75" i="17"/>
  <c r="Q76" i="17"/>
  <c r="R76" i="17"/>
  <c r="S76" i="17"/>
  <c r="T76" i="17"/>
  <c r="Q77" i="17"/>
  <c r="R77" i="17"/>
  <c r="S77" i="17"/>
  <c r="T77" i="17"/>
  <c r="Q78" i="17"/>
  <c r="R78" i="17"/>
  <c r="S78" i="17"/>
  <c r="T78" i="17"/>
  <c r="Q79" i="17"/>
  <c r="R79" i="17"/>
  <c r="S79" i="17"/>
  <c r="T79" i="17"/>
  <c r="Q80" i="17"/>
  <c r="R80" i="17"/>
  <c r="S80" i="17"/>
  <c r="T80" i="17"/>
  <c r="Q81" i="17"/>
  <c r="R81" i="17"/>
  <c r="S81" i="17"/>
  <c r="T81" i="17"/>
  <c r="Q82" i="17"/>
  <c r="R82" i="17"/>
  <c r="S82" i="17"/>
  <c r="T82" i="17"/>
  <c r="Q83" i="17"/>
  <c r="R83" i="17"/>
  <c r="S83" i="17"/>
  <c r="T83" i="17"/>
  <c r="Q84" i="17"/>
  <c r="R84" i="17"/>
  <c r="S84" i="17"/>
  <c r="T84" i="17"/>
  <c r="Q85" i="17"/>
  <c r="R85" i="17"/>
  <c r="S85" i="17"/>
  <c r="T85" i="17"/>
  <c r="Q86" i="17"/>
  <c r="R86" i="17"/>
  <c r="S86" i="17"/>
  <c r="T86" i="17"/>
  <c r="Q87" i="17"/>
  <c r="R87" i="17"/>
  <c r="S87" i="17"/>
  <c r="T87" i="17"/>
  <c r="Q88" i="17"/>
  <c r="R88" i="17"/>
  <c r="S88" i="17"/>
  <c r="T88" i="17"/>
  <c r="Q89" i="17"/>
  <c r="R89" i="17"/>
  <c r="S89" i="17"/>
  <c r="T89" i="17"/>
  <c r="Q90" i="17"/>
  <c r="R90" i="17"/>
  <c r="S90" i="17"/>
  <c r="T90" i="17"/>
  <c r="Q91" i="17"/>
  <c r="R91" i="17"/>
  <c r="S91" i="17"/>
  <c r="T91" i="17"/>
  <c r="Q92" i="17"/>
  <c r="R92" i="17"/>
  <c r="S92" i="17"/>
  <c r="T92" i="17"/>
  <c r="Q93" i="17"/>
  <c r="R93" i="17"/>
  <c r="S93" i="17"/>
  <c r="T93" i="17"/>
  <c r="Q94" i="17"/>
  <c r="R94" i="17"/>
  <c r="S94" i="17"/>
  <c r="T94" i="17"/>
  <c r="Q95" i="17"/>
  <c r="R95" i="17"/>
  <c r="S95" i="17"/>
  <c r="T95" i="17"/>
  <c r="Q97" i="17"/>
  <c r="R97" i="17"/>
  <c r="S97" i="17"/>
  <c r="T97" i="17"/>
  <c r="Q98" i="17"/>
  <c r="R98" i="17"/>
  <c r="S98" i="17"/>
  <c r="T98" i="17"/>
  <c r="Q99" i="17"/>
  <c r="R99" i="17"/>
  <c r="S99" i="17"/>
  <c r="T99" i="17"/>
  <c r="Q100" i="17"/>
  <c r="R100" i="17"/>
  <c r="S100" i="17"/>
  <c r="T100" i="17"/>
  <c r="Q101" i="17"/>
  <c r="R101" i="17"/>
  <c r="S101" i="17"/>
  <c r="T101" i="17"/>
  <c r="Q102" i="17"/>
  <c r="R102" i="17"/>
  <c r="S102" i="17"/>
  <c r="T102" i="17"/>
  <c r="Q103" i="17"/>
  <c r="R103" i="17"/>
  <c r="S103" i="17"/>
  <c r="T103" i="17"/>
  <c r="Q104" i="17"/>
  <c r="R104" i="17"/>
  <c r="S104" i="17"/>
  <c r="T104" i="17"/>
  <c r="Q105" i="17"/>
  <c r="R105" i="17"/>
  <c r="S105" i="17"/>
  <c r="T105" i="17"/>
  <c r="Q106" i="17"/>
  <c r="R106" i="17"/>
  <c r="S106" i="17"/>
  <c r="T106" i="17"/>
  <c r="Q107" i="17"/>
  <c r="R107" i="17"/>
  <c r="S107" i="17"/>
  <c r="T107" i="17"/>
  <c r="Q108" i="17"/>
  <c r="R108" i="17"/>
  <c r="S108" i="17"/>
  <c r="T108" i="17"/>
  <c r="Q109" i="17"/>
  <c r="R109" i="17"/>
  <c r="S109" i="17"/>
  <c r="T109" i="17"/>
  <c r="Q110" i="17"/>
  <c r="R110" i="17"/>
  <c r="S110" i="17"/>
  <c r="T110" i="17"/>
  <c r="Q111" i="17"/>
  <c r="R111" i="17"/>
  <c r="S111" i="17"/>
  <c r="T111" i="17"/>
  <c r="Q112" i="17"/>
  <c r="R112" i="17"/>
  <c r="S112" i="17"/>
  <c r="T112" i="17"/>
  <c r="Q113" i="17"/>
  <c r="R113" i="17"/>
  <c r="S113" i="17"/>
  <c r="T113" i="17"/>
  <c r="Q114" i="17"/>
  <c r="R114" i="17"/>
  <c r="S114" i="17"/>
  <c r="T114" i="17"/>
  <c r="Q115" i="17"/>
  <c r="R115" i="17"/>
  <c r="S115" i="17"/>
  <c r="T115" i="17"/>
  <c r="Q116" i="17"/>
  <c r="R116" i="17"/>
  <c r="S116" i="17"/>
  <c r="T116" i="17"/>
  <c r="Q117" i="17"/>
  <c r="R117" i="17"/>
  <c r="S117" i="17"/>
  <c r="T117" i="17"/>
  <c r="Q118" i="17"/>
  <c r="R118" i="17"/>
  <c r="S118" i="17"/>
  <c r="T118" i="17"/>
  <c r="Q119" i="17"/>
  <c r="R119" i="17"/>
  <c r="S119" i="17"/>
  <c r="T119" i="17"/>
  <c r="Q120" i="17"/>
  <c r="R120" i="17"/>
  <c r="S120" i="17"/>
  <c r="T120" i="17"/>
  <c r="Q121" i="17"/>
  <c r="R121" i="17"/>
  <c r="S121" i="17"/>
  <c r="T121" i="17"/>
  <c r="Q122" i="17"/>
  <c r="R122" i="17"/>
  <c r="S122" i="17"/>
  <c r="T122" i="17"/>
  <c r="Q123" i="17"/>
  <c r="R123" i="17"/>
  <c r="S123" i="17"/>
  <c r="T123" i="17"/>
  <c r="Q124" i="17"/>
  <c r="R124" i="17"/>
  <c r="S124" i="17"/>
  <c r="T124" i="17"/>
  <c r="Q125" i="17"/>
  <c r="R125" i="17"/>
  <c r="S125" i="17"/>
  <c r="T125" i="17"/>
  <c r="Q127" i="17"/>
  <c r="R127" i="17"/>
  <c r="S127" i="17"/>
  <c r="T127" i="17"/>
  <c r="Q128" i="17"/>
  <c r="R128" i="17"/>
  <c r="S128" i="17"/>
  <c r="T128" i="17"/>
  <c r="V337" i="17"/>
  <c r="V546" i="17"/>
  <c r="V964" i="17"/>
  <c r="Q129" i="17"/>
  <c r="R129" i="17"/>
  <c r="S129" i="17"/>
  <c r="T129" i="17"/>
  <c r="Q130" i="17"/>
  <c r="R130" i="17"/>
  <c r="S130" i="17"/>
  <c r="T130" i="17"/>
  <c r="Q131" i="17"/>
  <c r="R131" i="17"/>
  <c r="S131" i="17"/>
  <c r="T131" i="17"/>
  <c r="V549" i="17"/>
  <c r="Q132" i="17"/>
  <c r="R132" i="17"/>
  <c r="S132" i="17"/>
  <c r="T132" i="17"/>
  <c r="Q133" i="17"/>
  <c r="R133" i="17"/>
  <c r="S133" i="17"/>
  <c r="T133" i="17"/>
  <c r="Q134" i="17"/>
  <c r="R134" i="17"/>
  <c r="S134" i="17"/>
  <c r="T134" i="17"/>
  <c r="Q135" i="17"/>
  <c r="R135" i="17"/>
  <c r="S135" i="17"/>
  <c r="T135" i="17"/>
  <c r="Q136" i="17"/>
  <c r="R136" i="17"/>
  <c r="S136" i="17"/>
  <c r="T136" i="17"/>
  <c r="Q137" i="17"/>
  <c r="R137" i="17"/>
  <c r="S137" i="17"/>
  <c r="T137" i="17"/>
  <c r="Q138" i="17"/>
  <c r="R138" i="17"/>
  <c r="S138" i="17"/>
  <c r="T138" i="17"/>
  <c r="Q139" i="17"/>
  <c r="R139" i="17"/>
  <c r="S139" i="17"/>
  <c r="T139" i="17"/>
  <c r="Q140" i="17"/>
  <c r="R140" i="17"/>
  <c r="S140" i="17"/>
  <c r="T140" i="17"/>
  <c r="Q141" i="17"/>
  <c r="R141" i="17"/>
  <c r="S141" i="17"/>
  <c r="T141" i="17"/>
  <c r="Q142" i="17"/>
  <c r="R142" i="17"/>
  <c r="S142" i="17"/>
  <c r="T142" i="17"/>
  <c r="Q143" i="17"/>
  <c r="R143" i="17"/>
  <c r="S143" i="17"/>
  <c r="T143" i="17"/>
  <c r="Q144" i="17"/>
  <c r="R144" i="17"/>
  <c r="S144" i="17"/>
  <c r="T144" i="17"/>
  <c r="Q145" i="17"/>
  <c r="R145" i="17"/>
  <c r="S145" i="17"/>
  <c r="T145" i="17"/>
  <c r="V563" i="17"/>
  <c r="Q146" i="17"/>
  <c r="R146" i="17"/>
  <c r="S146" i="17"/>
  <c r="T146" i="17"/>
  <c r="Q147" i="17"/>
  <c r="R147" i="17"/>
  <c r="S147" i="17"/>
  <c r="T147" i="17"/>
  <c r="Q148" i="17"/>
  <c r="R148" i="17"/>
  <c r="S148" i="17"/>
  <c r="T148" i="17"/>
  <c r="Q149" i="17"/>
  <c r="R149" i="17"/>
  <c r="S149" i="17"/>
  <c r="T149" i="17"/>
  <c r="Q150" i="17"/>
  <c r="R150" i="17"/>
  <c r="S150" i="17"/>
  <c r="T150" i="17"/>
  <c r="Q151" i="17"/>
  <c r="R151" i="17"/>
  <c r="S151" i="17"/>
  <c r="T151" i="17"/>
  <c r="Q152" i="17"/>
  <c r="R152" i="17"/>
  <c r="S152" i="17"/>
  <c r="T152" i="17"/>
  <c r="Q153" i="17"/>
  <c r="R153" i="17"/>
  <c r="S153" i="17"/>
  <c r="T153" i="17"/>
  <c r="Q154" i="17"/>
  <c r="R154" i="17"/>
  <c r="S154" i="17"/>
  <c r="T154" i="17"/>
  <c r="Q155" i="17"/>
  <c r="R155" i="17"/>
  <c r="S155" i="17"/>
  <c r="T155" i="17"/>
  <c r="Q156" i="17"/>
  <c r="R156" i="17"/>
  <c r="S156" i="17"/>
  <c r="T156" i="17"/>
  <c r="Q157" i="17"/>
  <c r="R157" i="17"/>
  <c r="S157" i="17"/>
  <c r="T157" i="17"/>
  <c r="Q158" i="17"/>
  <c r="R158" i="17"/>
  <c r="S158" i="17"/>
  <c r="T158" i="17"/>
  <c r="Q159" i="17"/>
  <c r="R159" i="17"/>
  <c r="S159" i="17"/>
  <c r="T159" i="17"/>
  <c r="Q160" i="17"/>
  <c r="R160" i="17"/>
  <c r="S160" i="17"/>
  <c r="T160" i="17"/>
  <c r="Q161" i="17"/>
  <c r="R161" i="17"/>
  <c r="S161" i="17"/>
  <c r="T161" i="17"/>
  <c r="Q162" i="17"/>
  <c r="R162" i="17"/>
  <c r="S162" i="17"/>
  <c r="T162" i="17"/>
  <c r="Q163" i="17"/>
  <c r="R163" i="17"/>
  <c r="S163" i="17"/>
  <c r="T163" i="17"/>
  <c r="Q164" i="17"/>
  <c r="R164" i="17"/>
  <c r="S164" i="17"/>
  <c r="T164" i="17"/>
  <c r="Q165" i="17"/>
  <c r="R165" i="17"/>
  <c r="S165" i="17"/>
  <c r="T165" i="17"/>
  <c r="Q166" i="17"/>
  <c r="R166" i="17"/>
  <c r="S166" i="17"/>
  <c r="T166" i="17"/>
  <c r="Q167" i="17"/>
  <c r="R167" i="17"/>
  <c r="S167" i="17"/>
  <c r="T167" i="17"/>
  <c r="Q168" i="17"/>
  <c r="R168" i="17"/>
  <c r="S168" i="17"/>
  <c r="T168" i="17"/>
  <c r="Q169" i="17"/>
  <c r="R169" i="17"/>
  <c r="S169" i="17"/>
  <c r="T169" i="17"/>
  <c r="Q170" i="17"/>
  <c r="R170" i="17"/>
  <c r="S170" i="17"/>
  <c r="T170" i="17"/>
  <c r="Q171" i="17"/>
  <c r="R171" i="17"/>
  <c r="S171" i="17"/>
  <c r="T171" i="17"/>
  <c r="Q172" i="17"/>
  <c r="R172" i="17"/>
  <c r="S172" i="17"/>
  <c r="T172" i="17"/>
  <c r="Q173" i="17"/>
  <c r="R173" i="17"/>
  <c r="S173" i="17"/>
  <c r="T173" i="17"/>
  <c r="Q174" i="17"/>
  <c r="R174" i="17"/>
  <c r="S174" i="17"/>
  <c r="T174" i="17"/>
  <c r="Q175" i="17"/>
  <c r="R175" i="17"/>
  <c r="S175" i="17"/>
  <c r="T175" i="17"/>
  <c r="Q176" i="17"/>
  <c r="R176" i="17"/>
  <c r="S176" i="17"/>
  <c r="T176" i="17"/>
  <c r="Q177" i="17"/>
  <c r="R177" i="17"/>
  <c r="S177" i="17"/>
  <c r="T177" i="17"/>
  <c r="Q178" i="17"/>
  <c r="R178" i="17"/>
  <c r="S178" i="17"/>
  <c r="T178" i="17"/>
  <c r="Q179" i="17"/>
  <c r="R179" i="17"/>
  <c r="S179" i="17"/>
  <c r="T179" i="17"/>
  <c r="Q180" i="17"/>
  <c r="R180" i="17"/>
  <c r="S180" i="17"/>
  <c r="T180" i="17"/>
  <c r="Q181" i="17"/>
  <c r="R181" i="17"/>
  <c r="S181" i="17"/>
  <c r="T181" i="17"/>
  <c r="Q182" i="17"/>
  <c r="R182" i="17"/>
  <c r="S182" i="17"/>
  <c r="T182" i="17"/>
  <c r="Q183" i="17"/>
  <c r="R183" i="17"/>
  <c r="S183" i="17"/>
  <c r="T183" i="17"/>
  <c r="Q184" i="17"/>
  <c r="R184" i="17"/>
  <c r="S184" i="17"/>
  <c r="T184" i="17"/>
  <c r="Q185" i="17"/>
  <c r="R185" i="17"/>
  <c r="S185" i="17"/>
  <c r="T185" i="17"/>
  <c r="Q187" i="17"/>
  <c r="R187" i="17"/>
  <c r="S187" i="17"/>
  <c r="T187" i="17"/>
  <c r="Q188" i="17"/>
  <c r="R188" i="17"/>
  <c r="S188" i="17"/>
  <c r="T188" i="17"/>
  <c r="Q189" i="17"/>
  <c r="R189" i="17"/>
  <c r="S189" i="17"/>
  <c r="T189" i="17"/>
  <c r="Q190" i="17"/>
  <c r="R190" i="17"/>
  <c r="S190" i="17"/>
  <c r="T190" i="17"/>
  <c r="Q191" i="17"/>
  <c r="R191" i="17"/>
  <c r="S191" i="17"/>
  <c r="T191" i="17"/>
  <c r="Q192" i="17"/>
  <c r="R192" i="17"/>
  <c r="S192" i="17"/>
  <c r="T192" i="17"/>
  <c r="Q193" i="17"/>
  <c r="R193" i="17"/>
  <c r="S193" i="17"/>
  <c r="T193" i="17"/>
  <c r="Q194" i="17"/>
  <c r="R194" i="17"/>
  <c r="S194" i="17"/>
  <c r="T194" i="17"/>
  <c r="Q195" i="17"/>
  <c r="R195" i="17"/>
  <c r="S195" i="17"/>
  <c r="T195" i="17"/>
  <c r="Q196" i="17"/>
  <c r="R196" i="17"/>
  <c r="S196" i="17"/>
  <c r="T196" i="17"/>
  <c r="Q197" i="17"/>
  <c r="R197" i="17"/>
  <c r="S197" i="17"/>
  <c r="T197" i="17"/>
  <c r="Q198" i="17"/>
  <c r="R198" i="17"/>
  <c r="S198" i="17"/>
  <c r="T198" i="17"/>
  <c r="Q199" i="17"/>
  <c r="R199" i="17"/>
  <c r="S199" i="17"/>
  <c r="T199" i="17"/>
  <c r="Q200" i="17"/>
  <c r="R200" i="17"/>
  <c r="S200" i="17"/>
  <c r="T200" i="17"/>
  <c r="Q201" i="17"/>
  <c r="R201" i="17"/>
  <c r="S201" i="17"/>
  <c r="T201" i="17"/>
  <c r="Q202" i="17"/>
  <c r="R202" i="17"/>
  <c r="S202" i="17"/>
  <c r="T202" i="17"/>
  <c r="Q204" i="17"/>
  <c r="R204" i="17"/>
  <c r="S204" i="17"/>
  <c r="T204" i="17"/>
  <c r="Q205" i="17"/>
  <c r="R205" i="17"/>
  <c r="S205" i="17"/>
  <c r="T205" i="17"/>
  <c r="Q206" i="17"/>
  <c r="R206" i="17"/>
  <c r="S206" i="17"/>
  <c r="T206" i="17"/>
  <c r="Q207" i="17"/>
  <c r="R207" i="17"/>
  <c r="S207" i="17"/>
  <c r="T207" i="17"/>
  <c r="Q208" i="17"/>
  <c r="R208" i="17"/>
  <c r="S208" i="17"/>
  <c r="T208" i="17"/>
  <c r="Q209" i="17"/>
  <c r="R209" i="17"/>
  <c r="S209" i="17"/>
  <c r="T209" i="17"/>
  <c r="Q210" i="17"/>
  <c r="R210" i="17"/>
  <c r="S210" i="17"/>
  <c r="T210" i="17"/>
  <c r="Q212" i="17"/>
  <c r="R212" i="17"/>
  <c r="S212" i="17"/>
  <c r="T212" i="17"/>
  <c r="AE3" i="17"/>
  <c r="AF3" i="17"/>
  <c r="AL3" i="17"/>
  <c r="AM3" i="17"/>
  <c r="AO3" i="17"/>
  <c r="AP3" i="17"/>
  <c r="AQ3" i="17"/>
  <c r="AR3" i="17"/>
  <c r="AS3" i="17"/>
  <c r="AT3" i="17"/>
  <c r="AU3" i="17"/>
  <c r="AV3" i="17"/>
  <c r="AW3" i="17"/>
  <c r="AX3" i="17"/>
  <c r="AL4" i="17"/>
  <c r="AM4" i="17"/>
  <c r="AO4" i="17"/>
  <c r="AP4" i="17"/>
  <c r="AQ4" i="17"/>
  <c r="AR4" i="17"/>
  <c r="AS4" i="17"/>
  <c r="AT4" i="17"/>
  <c r="AU4" i="17"/>
  <c r="AV4" i="17"/>
  <c r="AW4" i="17"/>
  <c r="AX4" i="17"/>
  <c r="V965" i="17" l="1"/>
  <c r="V967" i="17"/>
  <c r="V905" i="17"/>
  <c r="A1118" i="15"/>
  <c r="A1130" i="15"/>
  <c r="V876" i="17"/>
  <c r="V966" i="17"/>
  <c r="V877" i="17"/>
  <c r="A826" i="15"/>
  <c r="A801" i="15"/>
  <c r="A708" i="15"/>
  <c r="V548" i="17"/>
  <c r="V248" i="17"/>
  <c r="A391" i="15"/>
  <c r="A502" i="15"/>
  <c r="V878" i="17"/>
  <c r="V460" i="17"/>
  <c r="V459" i="17"/>
  <c r="V458" i="17"/>
  <c r="V275" i="17"/>
  <c r="V26" i="17"/>
  <c r="V25" i="17"/>
  <c r="V37" i="17"/>
  <c r="V28" i="17"/>
  <c r="V27" i="17"/>
  <c r="V903" i="17"/>
  <c r="V904" i="17"/>
  <c r="V487" i="17"/>
  <c r="A643" i="15"/>
  <c r="V485" i="17"/>
  <c r="V486" i="17"/>
  <c r="V223" i="17"/>
  <c r="V641" i="17"/>
  <c r="V432" i="17"/>
  <c r="V968" i="17"/>
  <c r="V550" i="17"/>
  <c r="V906" i="17"/>
  <c r="V488" i="17"/>
  <c r="V879" i="17"/>
  <c r="V461" i="17"/>
  <c r="V864" i="17"/>
  <c r="V655" i="17"/>
  <c r="V446" i="17"/>
  <c r="V237" i="17"/>
  <c r="N2" i="9"/>
  <c r="N3" i="9"/>
  <c r="N4" i="9"/>
  <c r="N5" i="9"/>
  <c r="N6" i="9"/>
  <c r="N7" i="9"/>
  <c r="N8" i="9"/>
  <c r="N9" i="9"/>
  <c r="N10" i="9"/>
  <c r="N11" i="9"/>
  <c r="N12" i="9"/>
  <c r="N13" i="9"/>
  <c r="N14" i="9"/>
  <c r="N15" i="9"/>
  <c r="N16" i="9"/>
  <c r="N17" i="9"/>
  <c r="N18" i="9"/>
  <c r="N19" i="9"/>
  <c r="N20" i="9"/>
  <c r="N21" i="9"/>
  <c r="N22" i="9"/>
  <c r="N23" i="9" s="1"/>
  <c r="N24" i="9"/>
  <c r="N25" i="9" s="1"/>
  <c r="N26" i="9"/>
  <c r="N27" i="9" s="1"/>
  <c r="N28" i="9"/>
  <c r="N29" i="9"/>
  <c r="N30" i="9"/>
  <c r="N31" i="9"/>
  <c r="N32" i="9"/>
  <c r="N33" i="9" s="1"/>
  <c r="N34" i="9"/>
  <c r="N35" i="9" s="1"/>
  <c r="N36" i="9"/>
  <c r="N37" i="9"/>
  <c r="N38" i="9" s="1"/>
  <c r="N39" i="9"/>
  <c r="N40" i="9"/>
  <c r="N41" i="9"/>
  <c r="N42" i="9" s="1"/>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s="1"/>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s="1"/>
  <c r="N113" i="9"/>
  <c r="N114" i="9"/>
  <c r="N115" i="9"/>
  <c r="N116" i="9"/>
  <c r="N117" i="9" s="1"/>
  <c r="N118" i="9"/>
  <c r="N119" i="9"/>
  <c r="N120" i="9" s="1"/>
  <c r="N121" i="9"/>
  <c r="N122" i="9" s="1"/>
  <c r="N123" i="9"/>
  <c r="N124" i="9" s="1"/>
  <c r="N125" i="9"/>
  <c r="N126" i="9" s="1"/>
  <c r="N127" i="9"/>
  <c r="N128" i="9"/>
  <c r="N129" i="9" s="1"/>
  <c r="N130" i="9"/>
  <c r="N131" i="9"/>
  <c r="N132" i="9"/>
  <c r="N133" i="9"/>
  <c r="N134" i="9"/>
  <c r="N135" i="9"/>
  <c r="N136" i="9"/>
  <c r="N137" i="9"/>
  <c r="N138" i="9"/>
  <c r="N139" i="9"/>
  <c r="N140" i="9"/>
  <c r="N141" i="9"/>
  <c r="N142" i="9" s="1"/>
  <c r="N143" i="9"/>
  <c r="N144" i="9"/>
  <c r="N145" i="9"/>
  <c r="N146" i="9"/>
  <c r="N147" i="9"/>
  <c r="N148" i="9" s="1"/>
  <c r="N149" i="9"/>
  <c r="N150" i="9"/>
  <c r="N151" i="9"/>
  <c r="N152" i="9"/>
  <c r="N153" i="9"/>
  <c r="N154" i="9"/>
  <c r="N155" i="9" s="1"/>
  <c r="N156" i="9"/>
  <c r="N157" i="9"/>
  <c r="N158" i="9"/>
  <c r="N159" i="9"/>
  <c r="N160" i="9"/>
  <c r="N161" i="9"/>
  <c r="N162" i="9"/>
  <c r="N163" i="9"/>
  <c r="N164" i="9"/>
  <c r="N165" i="9"/>
  <c r="N166" i="9" s="1"/>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s="1"/>
  <c r="N209" i="9"/>
  <c r="N210" i="9"/>
  <c r="N211" i="9"/>
  <c r="N212" i="9" s="1"/>
  <c r="N213" i="9" s="1"/>
  <c r="N214" i="9" s="1"/>
  <c r="N215" i="9"/>
  <c r="N216" i="9" s="1"/>
  <c r="N217" i="9"/>
  <c r="N218" i="9"/>
  <c r="N219" i="9" s="1"/>
  <c r="N220" i="9" s="1"/>
  <c r="N221" i="9" s="1"/>
  <c r="N222" i="9"/>
  <c r="N223" i="9" s="1"/>
  <c r="N224" i="9" s="1"/>
  <c r="N225" i="9"/>
  <c r="N226" i="9" s="1"/>
  <c r="N227" i="9" s="1"/>
  <c r="N228" i="9"/>
  <c r="N229" i="9"/>
  <c r="N230" i="9" s="1"/>
  <c r="N231" i="9" s="1"/>
  <c r="N232" i="9" s="1"/>
  <c r="N233" i="9"/>
  <c r="N234" i="9"/>
  <c r="N235" i="9"/>
  <c r="N236" i="9"/>
  <c r="N237" i="9"/>
  <c r="N238" i="9"/>
  <c r="N239" i="9"/>
  <c r="N240" i="9"/>
  <c r="N241" i="9"/>
  <c r="N242" i="9"/>
  <c r="N243" i="9"/>
  <c r="N244" i="9"/>
  <c r="N245" i="9"/>
  <c r="N246" i="9" s="1"/>
  <c r="N247" i="9"/>
  <c r="N248" i="9"/>
  <c r="N249" i="9"/>
  <c r="N250" i="9"/>
  <c r="N251" i="9"/>
  <c r="N252" i="9"/>
  <c r="N253" i="9"/>
  <c r="N254" i="9"/>
  <c r="N255" i="9"/>
  <c r="N256" i="9"/>
  <c r="N257" i="9"/>
  <c r="N258" i="9"/>
  <c r="N259" i="9"/>
  <c r="N260" i="9"/>
  <c r="N261" i="9"/>
  <c r="N262" i="9"/>
  <c r="N263" i="9"/>
  <c r="N264" i="9"/>
  <c r="N265" i="9" s="1"/>
  <c r="N266" i="9"/>
  <c r="N267" i="9"/>
  <c r="N268" i="9"/>
  <c r="N269" i="9"/>
  <c r="N270" i="9"/>
  <c r="N271" i="9"/>
  <c r="N272" i="9"/>
  <c r="N273" i="9"/>
  <c r="N274" i="9"/>
  <c r="N275" i="9"/>
  <c r="N276" i="9"/>
  <c r="N277" i="9"/>
  <c r="N278" i="9"/>
  <c r="N279" i="9"/>
  <c r="N280" i="9" s="1"/>
  <c r="N281" i="9"/>
  <c r="N282" i="9"/>
  <c r="N283" i="9" s="1"/>
  <c r="N284" i="9"/>
  <c r="N285" i="9" s="1"/>
  <c r="N286" i="9"/>
  <c r="N287" i="9"/>
  <c r="N288" i="9" s="1"/>
  <c r="N289" i="9"/>
  <c r="N290" i="9" s="1"/>
  <c r="N291" i="9"/>
  <c r="N292" i="9"/>
  <c r="N293" i="9"/>
  <c r="N294" i="9" s="1"/>
  <c r="N295" i="9"/>
  <c r="N296" i="9"/>
  <c r="N297" i="9"/>
  <c r="N298" i="9"/>
  <c r="N299" i="9"/>
  <c r="N300" i="9"/>
  <c r="N301" i="9"/>
  <c r="N302" i="9" s="1"/>
  <c r="N303" i="9"/>
  <c r="N304" i="9"/>
  <c r="N305" i="9"/>
  <c r="N306" i="9"/>
  <c r="N307" i="9"/>
  <c r="N308" i="9"/>
  <c r="N309" i="9"/>
  <c r="N310" i="9"/>
  <c r="N311" i="9"/>
  <c r="N312" i="9"/>
  <c r="N313" i="9"/>
  <c r="N314" i="9"/>
  <c r="N315" i="9"/>
  <c r="N316" i="9"/>
  <c r="N317" i="9"/>
  <c r="N318" i="9"/>
  <c r="N319" i="9"/>
  <c r="N320" i="9"/>
  <c r="N321" i="9"/>
  <c r="N322" i="9"/>
  <c r="N323" i="9"/>
  <c r="N324" i="9"/>
  <c r="N325" i="9"/>
  <c r="N326" i="9"/>
  <c r="N327" i="9"/>
  <c r="N328" i="9"/>
  <c r="N329" i="9"/>
  <c r="N330" i="9"/>
  <c r="N331" i="9"/>
  <c r="N332" i="9"/>
  <c r="N333" i="9"/>
  <c r="N334" i="9"/>
  <c r="N335" i="9"/>
  <c r="N336" i="9"/>
  <c r="N337" i="9"/>
  <c r="N338" i="9"/>
  <c r="N339" i="9"/>
  <c r="N340" i="9"/>
  <c r="N341" i="9"/>
  <c r="N342" i="9"/>
  <c r="N343" i="9"/>
  <c r="N344" i="9"/>
  <c r="N345" i="9"/>
  <c r="N346" i="9"/>
  <c r="N347" i="9"/>
  <c r="N348" i="9"/>
  <c r="N349" i="9" s="1"/>
  <c r="N350" i="9"/>
  <c r="N351" i="9"/>
  <c r="N352" i="9"/>
  <c r="N353" i="9"/>
  <c r="N354" i="9"/>
  <c r="N355" i="9"/>
  <c r="N356" i="9" s="1"/>
  <c r="N357" i="9"/>
  <c r="N358" i="9"/>
  <c r="N359" i="9"/>
  <c r="N360" i="9"/>
  <c r="N361" i="9"/>
  <c r="N362" i="9"/>
  <c r="N363" i="9"/>
  <c r="N364" i="9"/>
  <c r="N365" i="9"/>
  <c r="N366" i="9"/>
  <c r="N367" i="9"/>
  <c r="N368" i="9"/>
  <c r="N369" i="9"/>
  <c r="N370" i="9"/>
  <c r="N371" i="9"/>
  <c r="N372" i="9"/>
  <c r="N373" i="9"/>
  <c r="N374" i="9"/>
  <c r="N375" i="9"/>
  <c r="N376" i="9"/>
  <c r="N377" i="9"/>
  <c r="N378" i="9"/>
  <c r="N379" i="9"/>
  <c r="N380" i="9"/>
  <c r="N381" i="9"/>
  <c r="N382" i="9"/>
  <c r="N383" i="9"/>
  <c r="N384" i="9"/>
  <c r="N385" i="9"/>
  <c r="N386" i="9"/>
  <c r="N387" i="9"/>
  <c r="N388" i="9"/>
  <c r="N389" i="9"/>
  <c r="N390" i="9" s="1"/>
  <c r="N391" i="9"/>
  <c r="N392" i="9"/>
  <c r="N393" i="9"/>
  <c r="N394" i="9"/>
  <c r="N395" i="9"/>
  <c r="N396" i="9"/>
  <c r="N397" i="9" s="1"/>
  <c r="N398" i="9"/>
  <c r="N399" i="9"/>
  <c r="N400" i="9"/>
  <c r="N401" i="9"/>
  <c r="N402" i="9"/>
  <c r="N403" i="9"/>
  <c r="N404" i="9"/>
  <c r="N405" i="9"/>
  <c r="N406" i="9"/>
  <c r="N407" i="9"/>
  <c r="N408" i="9"/>
  <c r="N409" i="9"/>
  <c r="N410" i="9"/>
  <c r="N411" i="9" s="1"/>
  <c r="N412" i="9"/>
  <c r="N413" i="9"/>
  <c r="N414" i="9"/>
  <c r="N415" i="9" s="1"/>
  <c r="N416" i="9" s="1"/>
  <c r="N417" i="9"/>
  <c r="N418" i="9"/>
  <c r="N419" i="9" s="1"/>
  <c r="N420" i="9"/>
  <c r="N421" i="9" s="1"/>
  <c r="N422" i="9" s="1"/>
  <c r="N423" i="9"/>
  <c r="N424" i="9" s="1"/>
  <c r="N425" i="9" s="1"/>
  <c r="N426" i="9"/>
  <c r="N427" i="9" s="1"/>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s="1"/>
  <c r="N463" i="9"/>
  <c r="N464" i="9"/>
  <c r="N465" i="9"/>
  <c r="N466" i="9"/>
  <c r="N467" i="9"/>
  <c r="N468" i="9"/>
  <c r="N469" i="9"/>
  <c r="N470" i="9"/>
  <c r="N471" i="9"/>
  <c r="N472" i="9"/>
  <c r="N473" i="9"/>
  <c r="N474" i="9"/>
  <c r="N475" i="9"/>
  <c r="N476" i="9"/>
  <c r="N477" i="9"/>
  <c r="N478" i="9"/>
  <c r="N479" i="9"/>
  <c r="N480" i="9" s="1"/>
  <c r="N481" i="9" s="1"/>
  <c r="N482" i="9" s="1"/>
  <c r="N483" i="9"/>
  <c r="N484" i="9" s="1"/>
  <c r="N485" i="9" s="1"/>
  <c r="N486" i="9" s="1"/>
  <c r="N487" i="9"/>
  <c r="N488" i="9"/>
  <c r="N489" i="9"/>
  <c r="N490" i="9"/>
  <c r="N491" i="9"/>
  <c r="N492" i="9" s="1"/>
  <c r="N493" i="9"/>
  <c r="N494" i="9"/>
  <c r="N495" i="9"/>
  <c r="N496" i="9"/>
  <c r="N497" i="9"/>
  <c r="N498" i="9"/>
  <c r="N499" i="9"/>
  <c r="N500" i="9"/>
  <c r="N501" i="9"/>
  <c r="N502" i="9" s="1"/>
  <c r="N503" i="9"/>
  <c r="N504" i="9"/>
  <c r="N505" i="9"/>
  <c r="N506" i="9"/>
  <c r="N507" i="9"/>
  <c r="N508" i="9"/>
  <c r="N509" i="9"/>
  <c r="N510" i="9"/>
  <c r="N511" i="9"/>
  <c r="N512" i="9"/>
  <c r="N513" i="9"/>
  <c r="N514" i="9"/>
  <c r="N515" i="9"/>
  <c r="N516" i="9"/>
  <c r="N517" i="9"/>
  <c r="N518" i="9" s="1"/>
  <c r="N519" i="9"/>
  <c r="N520" i="9"/>
  <c r="N521" i="9"/>
  <c r="N522" i="9" s="1"/>
  <c r="N523" i="9" s="1"/>
  <c r="N524" i="9"/>
  <c r="N525" i="9"/>
  <c r="N526" i="9"/>
  <c r="N527" i="9"/>
  <c r="N528" i="9"/>
  <c r="N529" i="9"/>
  <c r="N530" i="9"/>
  <c r="N531" i="9"/>
  <c r="N532" i="9"/>
  <c r="N533" i="9"/>
  <c r="N534" i="9"/>
  <c r="N535" i="9"/>
  <c r="N536" i="9"/>
  <c r="N537" i="9"/>
  <c r="N538" i="9" s="1"/>
  <c r="N539" i="9"/>
  <c r="N540" i="9"/>
  <c r="N541" i="9" s="1"/>
  <c r="N542" i="9"/>
  <c r="N543" i="9"/>
  <c r="N544" i="9"/>
  <c r="N545" i="9"/>
  <c r="N546" i="9"/>
  <c r="N547" i="9"/>
  <c r="N548" i="9"/>
  <c r="N549" i="9"/>
  <c r="N550" i="9"/>
  <c r="N551" i="9"/>
  <c r="N552" i="9"/>
  <c r="N553" i="9"/>
  <c r="N554" i="9"/>
  <c r="N555" i="9"/>
  <c r="N556" i="9" s="1"/>
  <c r="N557" i="9" s="1"/>
  <c r="N558" i="9"/>
  <c r="N559" i="9"/>
  <c r="N560" i="9"/>
  <c r="N561" i="9"/>
  <c r="N562" i="9"/>
  <c r="N563" i="9"/>
  <c r="N564" i="9"/>
  <c r="N565" i="9"/>
  <c r="N566" i="9" s="1"/>
  <c r="N567" i="9"/>
  <c r="N568" i="9"/>
  <c r="N569" i="9"/>
  <c r="N570" i="9"/>
  <c r="N571" i="9"/>
  <c r="N572" i="9"/>
  <c r="N573" i="9" s="1"/>
  <c r="N574" i="9"/>
  <c r="N575" i="9"/>
  <c r="N576" i="9"/>
  <c r="N577" i="9"/>
  <c r="N578" i="9"/>
  <c r="N579" i="9"/>
  <c r="N580" i="9"/>
  <c r="N581" i="9" s="1"/>
  <c r="N582" i="9"/>
  <c r="N583" i="9"/>
  <c r="N584" i="9"/>
  <c r="N585" i="9"/>
  <c r="N586" i="9"/>
  <c r="N587" i="9" s="1"/>
  <c r="N588" i="9"/>
  <c r="N589" i="9"/>
  <c r="N590" i="9"/>
  <c r="N591" i="9"/>
  <c r="N592" i="9"/>
  <c r="N593" i="9"/>
  <c r="N594" i="9"/>
  <c r="N595" i="9"/>
  <c r="N596" i="9"/>
  <c r="N597" i="9"/>
  <c r="N598" i="9"/>
  <c r="N599" i="9"/>
  <c r="N600" i="9"/>
  <c r="N601" i="9"/>
  <c r="N602" i="9"/>
  <c r="N603" i="9"/>
  <c r="N604" i="9"/>
  <c r="N605" i="9"/>
  <c r="N606" i="9"/>
  <c r="N607" i="9"/>
  <c r="N608" i="9"/>
  <c r="N609" i="9"/>
  <c r="N610" i="9"/>
  <c r="N611" i="9"/>
  <c r="N612" i="9"/>
  <c r="N613" i="9"/>
  <c r="N614" i="9"/>
  <c r="N615" i="9"/>
  <c r="N616" i="9"/>
  <c r="N617" i="9"/>
  <c r="N618" i="9"/>
  <c r="N619" i="9"/>
  <c r="N620" i="9"/>
  <c r="N621" i="9"/>
  <c r="N622" i="9"/>
  <c r="A5" i="15"/>
  <c r="I4" i="17"/>
  <c r="J4" i="17"/>
  <c r="K4" i="17"/>
  <c r="I5" i="17"/>
  <c r="J5" i="17"/>
  <c r="K5" i="17"/>
  <c r="I6" i="17"/>
  <c r="J6" i="17"/>
  <c r="K6" i="17"/>
  <c r="I7" i="17"/>
  <c r="J7" i="17"/>
  <c r="K7" i="17"/>
  <c r="I8" i="17"/>
  <c r="J8" i="17"/>
  <c r="K8" i="17"/>
  <c r="I9" i="17"/>
  <c r="J9" i="17"/>
  <c r="K9" i="17"/>
  <c r="I10" i="17"/>
  <c r="J10" i="17"/>
  <c r="K10" i="17"/>
  <c r="I11" i="17"/>
  <c r="J11" i="17"/>
  <c r="K11" i="17"/>
  <c r="I12" i="17"/>
  <c r="J12" i="17"/>
  <c r="K12" i="17"/>
  <c r="I13" i="17"/>
  <c r="J13" i="17"/>
  <c r="K13" i="17"/>
  <c r="I14" i="17"/>
  <c r="J14" i="17"/>
  <c r="K14" i="17"/>
  <c r="I15" i="17"/>
  <c r="J15" i="17"/>
  <c r="K15" i="17"/>
  <c r="I16" i="17"/>
  <c r="J16" i="17"/>
  <c r="K16" i="17"/>
  <c r="I17" i="17"/>
  <c r="J17" i="17"/>
  <c r="K17" i="17"/>
  <c r="I18" i="17"/>
  <c r="J18" i="17"/>
  <c r="K18" i="17"/>
  <c r="I19" i="17"/>
  <c r="J19" i="17"/>
  <c r="K19" i="17"/>
  <c r="I20" i="17"/>
  <c r="J20" i="17"/>
  <c r="K20" i="17"/>
  <c r="I21" i="17"/>
  <c r="J21" i="17"/>
  <c r="K21" i="17"/>
  <c r="I22" i="17"/>
  <c r="J22" i="17"/>
  <c r="K22" i="17"/>
  <c r="I23" i="17"/>
  <c r="J23" i="17"/>
  <c r="K23" i="17"/>
  <c r="I24" i="17"/>
  <c r="J24" i="17"/>
  <c r="K24" i="17"/>
  <c r="I25" i="17"/>
  <c r="J25" i="17"/>
  <c r="K25" i="17"/>
  <c r="I26" i="17"/>
  <c r="J26" i="17"/>
  <c r="K26" i="17"/>
  <c r="I27" i="17"/>
  <c r="J27" i="17"/>
  <c r="K27" i="17"/>
  <c r="I28" i="17"/>
  <c r="J28" i="17"/>
  <c r="K28" i="17"/>
  <c r="I29" i="17"/>
  <c r="J29" i="17"/>
  <c r="K29" i="17"/>
  <c r="I30" i="17"/>
  <c r="J30" i="17"/>
  <c r="K30" i="17"/>
  <c r="I31" i="17"/>
  <c r="J31" i="17"/>
  <c r="K31" i="17"/>
  <c r="I32" i="17"/>
  <c r="J32" i="17"/>
  <c r="K32" i="17"/>
  <c r="I33" i="17"/>
  <c r="J33" i="17"/>
  <c r="K33" i="17"/>
  <c r="I34" i="17"/>
  <c r="J34" i="17"/>
  <c r="K34" i="17"/>
  <c r="I35" i="17"/>
  <c r="J35" i="17"/>
  <c r="K35" i="17"/>
  <c r="I36" i="17"/>
  <c r="J36" i="17"/>
  <c r="K36" i="17"/>
  <c r="I37" i="17"/>
  <c r="J37" i="17"/>
  <c r="K37" i="17"/>
  <c r="I38" i="17"/>
  <c r="J38" i="17"/>
  <c r="K38" i="17"/>
  <c r="I39" i="17"/>
  <c r="J39" i="17"/>
  <c r="K39" i="17"/>
  <c r="I40" i="17"/>
  <c r="J40" i="17"/>
  <c r="K40" i="17"/>
  <c r="I41" i="17"/>
  <c r="J41" i="17"/>
  <c r="K41" i="17"/>
  <c r="I42" i="17"/>
  <c r="J42" i="17"/>
  <c r="K42" i="17"/>
  <c r="I43" i="17"/>
  <c r="J43" i="17"/>
  <c r="K43" i="17"/>
  <c r="I44" i="17"/>
  <c r="J44" i="17"/>
  <c r="K44" i="17"/>
  <c r="I45" i="17"/>
  <c r="J45" i="17"/>
  <c r="K45" i="17"/>
  <c r="I46" i="17"/>
  <c r="J46" i="17"/>
  <c r="K46" i="17"/>
  <c r="I47" i="17"/>
  <c r="J47" i="17"/>
  <c r="K47" i="17"/>
  <c r="I48" i="17"/>
  <c r="J48" i="17"/>
  <c r="K48" i="17"/>
  <c r="I49" i="17"/>
  <c r="J49" i="17"/>
  <c r="K49" i="17"/>
  <c r="I50" i="17"/>
  <c r="J50" i="17"/>
  <c r="K50" i="17"/>
  <c r="I51" i="17"/>
  <c r="J51" i="17"/>
  <c r="K51" i="17"/>
  <c r="I52" i="17"/>
  <c r="J52" i="17"/>
  <c r="K52" i="17"/>
  <c r="I53" i="17"/>
  <c r="J53" i="17"/>
  <c r="K53" i="17"/>
  <c r="I54" i="17"/>
  <c r="J54" i="17"/>
  <c r="K54" i="17"/>
  <c r="I55" i="17"/>
  <c r="J55" i="17"/>
  <c r="K55" i="17"/>
  <c r="I56" i="17"/>
  <c r="J56" i="17"/>
  <c r="K56" i="17"/>
  <c r="I57" i="17"/>
  <c r="J57" i="17"/>
  <c r="K57" i="17"/>
  <c r="I58" i="17"/>
  <c r="J58" i="17"/>
  <c r="K58" i="17"/>
  <c r="I59" i="17"/>
  <c r="J59" i="17"/>
  <c r="K59" i="17"/>
  <c r="I60" i="17"/>
  <c r="J60" i="17"/>
  <c r="K60" i="17"/>
  <c r="I61" i="17"/>
  <c r="J61" i="17"/>
  <c r="K61" i="17"/>
  <c r="I62" i="17"/>
  <c r="J62" i="17"/>
  <c r="K62" i="17"/>
  <c r="I63" i="17"/>
  <c r="J63" i="17"/>
  <c r="K63" i="17"/>
  <c r="I64" i="17"/>
  <c r="J64" i="17"/>
  <c r="K64" i="17"/>
  <c r="I65" i="17"/>
  <c r="J65" i="17"/>
  <c r="K65" i="17"/>
  <c r="I66" i="17"/>
  <c r="J66" i="17"/>
  <c r="K66" i="17"/>
  <c r="I67" i="17"/>
  <c r="J67" i="17"/>
  <c r="K67" i="17"/>
  <c r="I68" i="17"/>
  <c r="J68" i="17"/>
  <c r="K68" i="17"/>
  <c r="I69" i="17"/>
  <c r="J69" i="17"/>
  <c r="K69" i="17"/>
  <c r="I70" i="17"/>
  <c r="J70" i="17"/>
  <c r="K70" i="17"/>
  <c r="I71" i="17"/>
  <c r="J71" i="17"/>
  <c r="K71" i="17"/>
  <c r="I72" i="17"/>
  <c r="J72" i="17"/>
  <c r="K72" i="17"/>
  <c r="I73" i="17"/>
  <c r="J73" i="17"/>
  <c r="K73" i="17"/>
  <c r="I74" i="17"/>
  <c r="J74" i="17"/>
  <c r="K74" i="17"/>
  <c r="I75" i="17"/>
  <c r="J75" i="17"/>
  <c r="K75" i="17"/>
  <c r="I76" i="17"/>
  <c r="J76" i="17"/>
  <c r="K76" i="17"/>
  <c r="I77" i="17"/>
  <c r="J77" i="17"/>
  <c r="K77" i="17"/>
  <c r="I78" i="17"/>
  <c r="J78" i="17"/>
  <c r="K78" i="17"/>
  <c r="I79" i="17"/>
  <c r="J79" i="17"/>
  <c r="K79" i="17"/>
  <c r="I80" i="17"/>
  <c r="J80" i="17"/>
  <c r="K80" i="17"/>
  <c r="I81" i="17"/>
  <c r="J81" i="17"/>
  <c r="K81" i="17"/>
  <c r="I82" i="17"/>
  <c r="J82" i="17"/>
  <c r="K82" i="17"/>
  <c r="I83" i="17"/>
  <c r="J83" i="17"/>
  <c r="K83" i="17"/>
  <c r="I84" i="17"/>
  <c r="J84" i="17"/>
  <c r="K84" i="17"/>
  <c r="I85" i="17"/>
  <c r="J85" i="17"/>
  <c r="K85" i="17"/>
  <c r="I86" i="17"/>
  <c r="J86" i="17"/>
  <c r="K86" i="17"/>
  <c r="I87" i="17"/>
  <c r="J87" i="17"/>
  <c r="K87" i="17"/>
  <c r="I88" i="17"/>
  <c r="J88" i="17"/>
  <c r="K88" i="17"/>
  <c r="I89" i="17"/>
  <c r="J89" i="17"/>
  <c r="K89" i="17"/>
  <c r="I90" i="17"/>
  <c r="J90" i="17"/>
  <c r="K90" i="17"/>
  <c r="I91" i="17"/>
  <c r="J91" i="17"/>
  <c r="K91" i="17"/>
  <c r="I92" i="17"/>
  <c r="J92" i="17"/>
  <c r="K92" i="17"/>
  <c r="I93" i="17"/>
  <c r="J93" i="17"/>
  <c r="K93" i="17"/>
  <c r="I94" i="17"/>
  <c r="J94" i="17"/>
  <c r="K94" i="17"/>
  <c r="I95" i="17"/>
  <c r="J95" i="17"/>
  <c r="K95" i="17"/>
  <c r="I96" i="17"/>
  <c r="J96" i="17"/>
  <c r="K96" i="17"/>
  <c r="I97" i="17"/>
  <c r="J97" i="17"/>
  <c r="K97" i="17"/>
  <c r="I98" i="17"/>
  <c r="J98" i="17"/>
  <c r="K98" i="17"/>
  <c r="I99" i="17"/>
  <c r="J99" i="17"/>
  <c r="K99" i="17"/>
  <c r="I100" i="17"/>
  <c r="J100" i="17"/>
  <c r="K100" i="17"/>
  <c r="I101" i="17"/>
  <c r="J101" i="17"/>
  <c r="K101" i="17"/>
  <c r="I102" i="17"/>
  <c r="J102" i="17"/>
  <c r="K102" i="17"/>
  <c r="I103" i="17"/>
  <c r="J103" i="17"/>
  <c r="K103" i="17"/>
  <c r="I104" i="17"/>
  <c r="J104" i="17"/>
  <c r="K104" i="17"/>
  <c r="I105" i="17"/>
  <c r="J105" i="17"/>
  <c r="K105" i="17"/>
  <c r="I106" i="17"/>
  <c r="J106" i="17"/>
  <c r="K106" i="17"/>
  <c r="I107" i="17"/>
  <c r="J107" i="17"/>
  <c r="K107" i="17"/>
  <c r="I108" i="17"/>
  <c r="J108" i="17"/>
  <c r="K108" i="17"/>
  <c r="I109" i="17"/>
  <c r="J109" i="17"/>
  <c r="K109" i="17"/>
  <c r="I110" i="17"/>
  <c r="J110" i="17"/>
  <c r="K110" i="17"/>
  <c r="I111" i="17"/>
  <c r="J111" i="17"/>
  <c r="K111" i="17"/>
  <c r="I112" i="17"/>
  <c r="J112" i="17"/>
  <c r="K112" i="17"/>
  <c r="I113" i="17"/>
  <c r="J113" i="17"/>
  <c r="K113" i="17"/>
  <c r="I114" i="17"/>
  <c r="J114" i="17"/>
  <c r="K114" i="17"/>
  <c r="I115" i="17"/>
  <c r="J115" i="17"/>
  <c r="K115" i="17"/>
  <c r="I116" i="17"/>
  <c r="J116" i="17"/>
  <c r="K116" i="17"/>
  <c r="I117" i="17"/>
  <c r="J117" i="17"/>
  <c r="K117" i="17"/>
  <c r="I118" i="17"/>
  <c r="J118" i="17"/>
  <c r="K118" i="17"/>
  <c r="I119" i="17"/>
  <c r="J119" i="17"/>
  <c r="K119" i="17"/>
  <c r="I120" i="17"/>
  <c r="J120" i="17"/>
  <c r="K120" i="17"/>
  <c r="I121" i="17"/>
  <c r="J121" i="17"/>
  <c r="K121" i="17"/>
  <c r="I122" i="17"/>
  <c r="J122" i="17"/>
  <c r="K122" i="17"/>
  <c r="I123" i="17"/>
  <c r="J123" i="17"/>
  <c r="K123" i="17"/>
  <c r="A1" i="2"/>
  <c r="A1" i="1"/>
  <c r="A1" i="4"/>
  <c r="A1" i="5"/>
  <c r="D141" i="15"/>
  <c r="C141" i="15"/>
  <c r="B141" i="15"/>
  <c r="A141" i="15"/>
  <c r="D140" i="15"/>
  <c r="C140" i="15"/>
  <c r="B140" i="15"/>
  <c r="A140" i="15"/>
  <c r="D139" i="15"/>
  <c r="C139" i="15"/>
  <c r="B139" i="15"/>
  <c r="A139" i="15"/>
  <c r="D110" i="15"/>
  <c r="C110" i="15"/>
  <c r="B110" i="15"/>
  <c r="A110" i="15"/>
  <c r="D109" i="15"/>
  <c r="C109" i="15"/>
  <c r="B109" i="15"/>
  <c r="A109" i="15"/>
  <c r="D108" i="15"/>
  <c r="C108" i="15"/>
  <c r="B108" i="15"/>
  <c r="A108" i="15"/>
  <c r="D79" i="15"/>
  <c r="C79" i="15"/>
  <c r="B79" i="15"/>
  <c r="A79" i="15"/>
  <c r="D78" i="15"/>
  <c r="C78" i="15"/>
  <c r="B78" i="15"/>
  <c r="A78" i="15"/>
  <c r="D77" i="15"/>
  <c r="C77" i="15"/>
  <c r="B77" i="15"/>
  <c r="A77" i="15"/>
  <c r="B1179" i="15"/>
  <c r="B1178" i="15"/>
  <c r="B1177" i="15"/>
  <c r="B1176" i="15"/>
  <c r="B1175" i="15"/>
  <c r="B1174" i="15"/>
  <c r="B1173" i="15"/>
  <c r="B1172" i="15"/>
  <c r="B1171" i="15"/>
  <c r="B1170" i="15"/>
  <c r="B1169" i="15"/>
  <c r="B1168" i="15"/>
  <c r="B1167" i="15"/>
  <c r="B1166" i="15"/>
  <c r="B1165" i="15"/>
  <c r="B1164" i="15"/>
  <c r="B1163" i="15"/>
  <c r="B1162" i="15"/>
  <c r="B1161" i="15"/>
  <c r="B1160" i="15"/>
  <c r="B1159" i="15"/>
  <c r="B1158" i="15"/>
  <c r="B1157" i="15"/>
  <c r="B1156" i="15"/>
  <c r="B1155" i="15"/>
  <c r="B1154" i="15"/>
  <c r="B1153" i="15"/>
  <c r="B1152" i="15"/>
  <c r="B1151" i="15"/>
  <c r="B1150" i="15"/>
  <c r="B1149" i="15"/>
  <c r="B1148" i="15"/>
  <c r="B1147" i="15"/>
  <c r="B1146" i="15"/>
  <c r="B1145" i="15"/>
  <c r="B1144" i="15"/>
  <c r="B1143" i="15"/>
  <c r="B1142" i="15"/>
  <c r="B1141" i="15"/>
  <c r="B1140" i="15"/>
  <c r="B1139" i="15"/>
  <c r="B1138" i="15"/>
  <c r="B1137" i="15"/>
  <c r="B1136" i="15"/>
  <c r="B1135" i="15"/>
  <c r="B1134" i="15"/>
  <c r="B1133" i="15"/>
  <c r="B1132" i="15"/>
  <c r="B1131" i="15"/>
  <c r="B1130" i="15"/>
  <c r="B1129" i="15"/>
  <c r="B1128" i="15"/>
  <c r="B1127" i="15"/>
  <c r="B1126" i="15"/>
  <c r="B1125" i="15"/>
  <c r="B1124" i="15"/>
  <c r="B1123" i="15"/>
  <c r="B1122" i="15"/>
  <c r="B1121" i="15"/>
  <c r="B1120" i="15"/>
  <c r="B1119" i="15"/>
  <c r="B1118" i="15"/>
  <c r="B1117" i="15"/>
  <c r="B1116" i="15"/>
  <c r="B1115" i="15"/>
  <c r="B1114" i="15"/>
  <c r="B1113" i="15"/>
  <c r="B1112" i="15"/>
  <c r="B1111" i="15"/>
  <c r="B1110" i="15"/>
  <c r="B1109" i="15"/>
  <c r="B1108" i="15"/>
  <c r="B1107" i="15"/>
  <c r="B1106" i="15"/>
  <c r="B1105" i="15"/>
  <c r="B1104" i="15"/>
  <c r="B1103" i="15"/>
  <c r="B1102" i="15"/>
  <c r="B1101" i="15"/>
  <c r="B1100" i="15"/>
  <c r="B1099" i="15"/>
  <c r="B1098" i="15"/>
  <c r="B1097" i="15"/>
  <c r="B1096" i="15"/>
  <c r="B1095" i="15"/>
  <c r="B1094" i="15"/>
  <c r="B1093" i="15"/>
  <c r="B1092" i="15"/>
  <c r="B1091" i="15"/>
  <c r="B1090" i="15"/>
  <c r="B1089" i="15"/>
  <c r="B1088" i="15"/>
  <c r="B1087" i="15"/>
  <c r="B1086" i="15"/>
  <c r="B1085" i="15"/>
  <c r="B1084" i="15"/>
  <c r="B1083" i="15"/>
  <c r="B1082" i="15"/>
  <c r="B1081" i="15"/>
  <c r="B1080" i="15"/>
  <c r="B1079" i="15"/>
  <c r="B1078" i="15"/>
  <c r="B1077" i="15"/>
  <c r="B1076" i="15"/>
  <c r="B1075" i="15"/>
  <c r="B1074" i="15"/>
  <c r="B1073" i="15"/>
  <c r="B1072" i="15"/>
  <c r="B1071" i="15"/>
  <c r="B1070" i="15"/>
  <c r="B1069" i="15"/>
  <c r="B1068" i="15"/>
  <c r="B1067" i="15"/>
  <c r="B1066" i="15"/>
  <c r="B1065" i="15"/>
  <c r="B1064" i="15"/>
  <c r="B1063" i="15"/>
  <c r="B1062" i="15"/>
  <c r="B1061" i="15"/>
  <c r="B1060" i="15"/>
  <c r="B1059" i="15"/>
  <c r="B1058" i="15"/>
  <c r="B1057" i="15"/>
  <c r="B1056" i="15"/>
  <c r="B1055" i="15"/>
  <c r="B1054" i="15"/>
  <c r="B1053" i="15"/>
  <c r="B1052" i="15"/>
  <c r="B1051" i="15"/>
  <c r="B1050" i="15"/>
  <c r="B1049" i="15"/>
  <c r="B1048" i="15"/>
  <c r="B1047" i="15"/>
  <c r="B1046" i="15"/>
  <c r="B1045" i="15"/>
  <c r="B1044" i="15"/>
  <c r="B1043" i="15"/>
  <c r="B1042" i="15"/>
  <c r="B1041" i="15"/>
  <c r="B1040" i="15"/>
  <c r="B1039" i="15"/>
  <c r="B1038" i="15"/>
  <c r="B1037" i="15"/>
  <c r="B1036" i="15"/>
  <c r="B1035" i="15"/>
  <c r="B1034" i="15"/>
  <c r="B1033" i="15"/>
  <c r="B1032" i="15"/>
  <c r="B1031" i="15"/>
  <c r="B1030" i="15"/>
  <c r="B1029" i="15"/>
  <c r="B1028" i="15"/>
  <c r="B1027" i="15"/>
  <c r="B1026" i="15"/>
  <c r="B1025" i="15"/>
  <c r="B1024" i="15"/>
  <c r="B1023" i="15"/>
  <c r="B1022" i="15"/>
  <c r="B1021" i="15"/>
  <c r="B1020" i="15"/>
  <c r="B1019" i="15"/>
  <c r="B1018" i="15"/>
  <c r="B1017" i="15"/>
  <c r="B1016" i="15"/>
  <c r="B1015" i="15"/>
  <c r="B1014" i="15"/>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A1170" i="15"/>
  <c r="A1165" i="15"/>
  <c r="A1163" i="15"/>
  <c r="A1162" i="15"/>
  <c r="A1161" i="15"/>
  <c r="A1160" i="15"/>
  <c r="A1158" i="15"/>
  <c r="A1147" i="15"/>
  <c r="A1143" i="15"/>
  <c r="A1141" i="15"/>
  <c r="A1140" i="15"/>
  <c r="A1138" i="15"/>
  <c r="A1131" i="15"/>
  <c r="A1126" i="15"/>
  <c r="A1125" i="15"/>
  <c r="A1117" i="15"/>
  <c r="A1113" i="15"/>
  <c r="A1103" i="15"/>
  <c r="A1102" i="15"/>
  <c r="A1101" i="15"/>
  <c r="A1100" i="15"/>
  <c r="A1099" i="15"/>
  <c r="A1085" i="15"/>
  <c r="A1065" i="15"/>
  <c r="A1064" i="15"/>
  <c r="A1053" i="15"/>
  <c r="A1048" i="15"/>
  <c r="A1040" i="15"/>
  <c r="A1035" i="15"/>
  <c r="A1034" i="15"/>
  <c r="A1033" i="15"/>
  <c r="A1032" i="15"/>
  <c r="A1031" i="15"/>
  <c r="A1018" i="15"/>
  <c r="A1014" i="15"/>
  <c r="A1009" i="15"/>
  <c r="A1008" i="15"/>
  <c r="A1007" i="15"/>
  <c r="A1006" i="15"/>
  <c r="A1005" i="15"/>
  <c r="A1004" i="15"/>
  <c r="A1003" i="15"/>
  <c r="A996" i="15"/>
  <c r="A995" i="15"/>
  <c r="A994" i="15"/>
  <c r="A993" i="15"/>
  <c r="A991" i="15"/>
  <c r="A988" i="15"/>
  <c r="A985" i="15"/>
  <c r="A984" i="15"/>
  <c r="A983" i="15"/>
  <c r="A982" i="15"/>
  <c r="A981" i="15"/>
  <c r="A980" i="15"/>
  <c r="A979" i="15"/>
  <c r="A978" i="15"/>
  <c r="A977" i="15"/>
  <c r="A976" i="15"/>
  <c r="A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A965" i="15"/>
  <c r="A960" i="15"/>
  <c r="A958" i="15"/>
  <c r="A957" i="15"/>
  <c r="A956" i="15"/>
  <c r="A955" i="15"/>
  <c r="A953" i="15"/>
  <c r="A942" i="15"/>
  <c r="A938" i="15"/>
  <c r="A936" i="15"/>
  <c r="A935" i="15"/>
  <c r="A933" i="15"/>
  <c r="A926" i="15"/>
  <c r="A921" i="15"/>
  <c r="A920" i="15"/>
  <c r="A908" i="15"/>
  <c r="A880" i="15"/>
  <c r="A860" i="15"/>
  <c r="A859" i="15"/>
  <c r="A843" i="15"/>
  <c r="A835" i="15"/>
  <c r="A829" i="15"/>
  <c r="A813" i="15"/>
  <c r="A809" i="15"/>
  <c r="A800" i="15"/>
  <c r="A799" i="15"/>
  <c r="A798" i="15"/>
  <c r="A792" i="15"/>
  <c r="A791" i="15"/>
  <c r="A790" i="15"/>
  <c r="A789" i="15"/>
  <c r="A788" i="15"/>
  <c r="A786" i="15"/>
  <c r="A783" i="15"/>
  <c r="A780" i="15"/>
  <c r="A779" i="15"/>
  <c r="A778" i="15"/>
  <c r="A777" i="15"/>
  <c r="A776" i="15"/>
  <c r="A775" i="15"/>
  <c r="A774" i="15"/>
  <c r="A773" i="15"/>
  <c r="A772" i="15"/>
  <c r="A771" i="15"/>
  <c r="A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A760" i="15"/>
  <c r="A755" i="15"/>
  <c r="A753" i="15"/>
  <c r="A752" i="15"/>
  <c r="A751" i="15"/>
  <c r="A750" i="15"/>
  <c r="A748" i="15"/>
  <c r="A737" i="15"/>
  <c r="A733" i="15"/>
  <c r="A731" i="15"/>
  <c r="A730" i="15"/>
  <c r="A728" i="15"/>
  <c r="A721" i="15"/>
  <c r="A720" i="15"/>
  <c r="A716" i="15"/>
  <c r="A715" i="15"/>
  <c r="A707" i="15"/>
  <c r="A703" i="15"/>
  <c r="A693" i="15"/>
  <c r="A692" i="15"/>
  <c r="A691" i="15"/>
  <c r="A690" i="15"/>
  <c r="A689" i="15"/>
  <c r="A675" i="15"/>
  <c r="A655" i="15"/>
  <c r="A654" i="15"/>
  <c r="A638" i="15"/>
  <c r="A630" i="15"/>
  <c r="A625" i="15"/>
  <c r="A624" i="15"/>
  <c r="A623" i="15"/>
  <c r="A622" i="15"/>
  <c r="A621" i="15"/>
  <c r="A608" i="15"/>
  <c r="A604" i="15"/>
  <c r="A599" i="15"/>
  <c r="A598" i="15"/>
  <c r="A597" i="15"/>
  <c r="A596" i="15"/>
  <c r="A595" i="15"/>
  <c r="A594" i="15"/>
  <c r="A593" i="15"/>
  <c r="A587" i="15"/>
  <c r="A586" i="15"/>
  <c r="A585" i="15"/>
  <c r="A584" i="15"/>
  <c r="A583" i="15"/>
  <c r="A581" i="15"/>
  <c r="A578" i="15"/>
  <c r="A575" i="15"/>
  <c r="A574" i="15"/>
  <c r="A573" i="15"/>
  <c r="A572" i="15"/>
  <c r="A571" i="15"/>
  <c r="A570" i="15"/>
  <c r="A569" i="15"/>
  <c r="A568" i="15"/>
  <c r="A567" i="15"/>
  <c r="A566" i="15"/>
  <c r="A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1" i="15"/>
  <c r="B330" i="15"/>
  <c r="B329" i="15"/>
  <c r="B328" i="15"/>
  <c r="B327" i="15"/>
  <c r="B326" i="15"/>
  <c r="B325" i="15"/>
  <c r="B324" i="15"/>
  <c r="B323" i="15"/>
  <c r="B322" i="15"/>
  <c r="B321" i="15"/>
  <c r="B320" i="15"/>
  <c r="B319" i="15"/>
  <c r="B318" i="15"/>
  <c r="B317" i="15"/>
  <c r="B315" i="15"/>
  <c r="B314" i="15"/>
  <c r="B312" i="15"/>
  <c r="B311" i="15"/>
  <c r="B310" i="15"/>
  <c r="B309" i="15"/>
  <c r="B308" i="15"/>
  <c r="B305" i="15"/>
  <c r="B304" i="15"/>
  <c r="B303" i="15"/>
  <c r="A555" i="15"/>
  <c r="A550" i="15"/>
  <c r="A548" i="15"/>
  <c r="A547" i="15"/>
  <c r="A546" i="15"/>
  <c r="A545" i="15"/>
  <c r="A543" i="15"/>
  <c r="A532" i="15"/>
  <c r="A528" i="15"/>
  <c r="A526" i="15"/>
  <c r="A525" i="15"/>
  <c r="A523" i="15"/>
  <c r="A516" i="15"/>
  <c r="A511" i="15"/>
  <c r="A510" i="15"/>
  <c r="A498" i="15"/>
  <c r="A485" i="15"/>
  <c r="A484" i="15"/>
  <c r="A470" i="15"/>
  <c r="A450" i="15"/>
  <c r="A449" i="15"/>
  <c r="A438" i="15"/>
  <c r="A433" i="15"/>
  <c r="A425" i="15"/>
  <c r="A419" i="15"/>
  <c r="A416" i="15"/>
  <c r="A403" i="15"/>
  <c r="A399" i="15"/>
  <c r="A390" i="15"/>
  <c r="A389" i="15"/>
  <c r="A388" i="15"/>
  <c r="A382" i="15"/>
  <c r="A381" i="15"/>
  <c r="A380" i="15"/>
  <c r="A379" i="15"/>
  <c r="A378" i="15"/>
  <c r="A376" i="15"/>
  <c r="A373" i="15"/>
  <c r="A370" i="15"/>
  <c r="A369" i="15"/>
  <c r="A368" i="15"/>
  <c r="A367" i="15"/>
  <c r="A366" i="15"/>
  <c r="A365" i="15"/>
  <c r="A364" i="15"/>
  <c r="A363" i="15"/>
  <c r="A362" i="15"/>
  <c r="A361" i="15"/>
  <c r="A360" i="15"/>
  <c r="B167" i="15"/>
  <c r="B166" i="15"/>
  <c r="B300" i="15"/>
  <c r="B299" i="15"/>
  <c r="B298" i="15"/>
  <c r="B297" i="15"/>
  <c r="B296" i="15"/>
  <c r="B295" i="15"/>
  <c r="B294" i="15"/>
  <c r="B293" i="15"/>
  <c r="B292" i="15"/>
  <c r="B290" i="15"/>
  <c r="B289" i="15"/>
  <c r="B288" i="15"/>
  <c r="B287"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8" i="15"/>
  <c r="B259"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0" i="15"/>
  <c r="B221"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3" i="15"/>
  <c r="B182" i="15"/>
  <c r="B181" i="15"/>
  <c r="B180" i="15"/>
  <c r="B179" i="15"/>
  <c r="B178" i="15"/>
  <c r="B176" i="15"/>
  <c r="B175" i="15"/>
  <c r="B332" i="15"/>
  <c r="B316" i="15"/>
  <c r="B313" i="15"/>
  <c r="B307" i="15"/>
  <c r="B306" i="15"/>
  <c r="B302" i="15"/>
  <c r="B301" i="15"/>
  <c r="B291" i="15"/>
  <c r="B286" i="15"/>
  <c r="B184" i="15"/>
  <c r="B177" i="15"/>
  <c r="B174" i="15"/>
  <c r="B173" i="15"/>
  <c r="B172" i="15"/>
  <c r="B171" i="15"/>
  <c r="B170" i="15"/>
  <c r="B169" i="15"/>
  <c r="B168" i="15"/>
  <c r="B165" i="15"/>
  <c r="B164" i="15"/>
  <c r="B163" i="15"/>
  <c r="B162" i="15"/>
  <c r="B161" i="15"/>
  <c r="B160" i="15"/>
  <c r="B159" i="15"/>
  <c r="B158" i="15"/>
  <c r="B157" i="15"/>
  <c r="B156" i="15"/>
  <c r="B155" i="15"/>
  <c r="A350" i="15"/>
  <c r="A345" i="15"/>
  <c r="A343" i="15"/>
  <c r="A342" i="15"/>
  <c r="A341" i="15"/>
  <c r="A340" i="15"/>
  <c r="A338" i="15"/>
  <c r="A327" i="15"/>
  <c r="A323" i="15"/>
  <c r="A321" i="15"/>
  <c r="A320" i="15"/>
  <c r="A318" i="15"/>
  <c r="A311" i="15"/>
  <c r="A306" i="15"/>
  <c r="A305" i="15"/>
  <c r="A293" i="15"/>
  <c r="A265" i="15"/>
  <c r="A245" i="15"/>
  <c r="A244" i="15"/>
  <c r="A228" i="15"/>
  <c r="A220" i="15"/>
  <c r="A214" i="15"/>
  <c r="A211" i="15"/>
  <c r="A198" i="15"/>
  <c r="A194" i="15"/>
  <c r="A185" i="15"/>
  <c r="A184" i="15"/>
  <c r="A183" i="15"/>
  <c r="A178" i="15"/>
  <c r="A177" i="15"/>
  <c r="A176" i="15"/>
  <c r="A175" i="15"/>
  <c r="A174" i="15"/>
  <c r="A173" i="15"/>
  <c r="A171" i="15"/>
  <c r="A168" i="15"/>
  <c r="A166" i="15"/>
  <c r="A165" i="15"/>
  <c r="A164" i="15"/>
  <c r="A163" i="15"/>
  <c r="A162" i="15"/>
  <c r="A161" i="15"/>
  <c r="A160" i="15"/>
  <c r="A159" i="15"/>
  <c r="A158" i="15"/>
  <c r="A157" i="15"/>
  <c r="A156" i="15"/>
  <c r="A155" i="15"/>
  <c r="A44" i="15"/>
  <c r="A43" i="15"/>
  <c r="A42" i="15"/>
  <c r="A41" i="15"/>
  <c r="A40" i="15"/>
  <c r="A39" i="15"/>
  <c r="B38" i="15"/>
  <c r="B37" i="15"/>
  <c r="B36" i="15"/>
  <c r="B35" i="15"/>
  <c r="B34" i="15"/>
  <c r="B33" i="15"/>
  <c r="B32" i="15"/>
  <c r="B31" i="15"/>
  <c r="B30" i="15"/>
  <c r="B29" i="15"/>
  <c r="B28" i="15"/>
  <c r="B27" i="15"/>
  <c r="B54" i="15"/>
  <c r="B53" i="15"/>
  <c r="B52" i="15"/>
  <c r="B51" i="15"/>
  <c r="B50" i="15"/>
  <c r="B49" i="15"/>
  <c r="C49" i="15"/>
  <c r="B154" i="15"/>
  <c r="B153" i="15"/>
  <c r="B152" i="15"/>
  <c r="B151" i="15"/>
  <c r="B150" i="15"/>
  <c r="B149" i="15"/>
  <c r="B148" i="15"/>
  <c r="B147" i="15"/>
  <c r="B146" i="15"/>
  <c r="B145" i="15"/>
  <c r="B144" i="15"/>
  <c r="B143" i="15"/>
  <c r="B142" i="15"/>
  <c r="A154" i="15"/>
  <c r="A153" i="15"/>
  <c r="A152" i="15"/>
  <c r="A151" i="15"/>
  <c r="A150" i="15"/>
  <c r="A149" i="15"/>
  <c r="A148" i="15"/>
  <c r="A147" i="15"/>
  <c r="A146" i="15"/>
  <c r="A145" i="15"/>
  <c r="A144" i="15"/>
  <c r="A143" i="15"/>
  <c r="A142" i="15"/>
  <c r="A38" i="15"/>
  <c r="A37" i="15"/>
  <c r="A36" i="15"/>
  <c r="A35" i="15"/>
  <c r="A34" i="15"/>
  <c r="A33" i="15"/>
  <c r="A32" i="15"/>
  <c r="A31" i="15"/>
  <c r="A30" i="15"/>
  <c r="A29" i="15"/>
  <c r="A28" i="15"/>
  <c r="A27" i="15"/>
  <c r="A2" i="15"/>
  <c r="B2" i="15"/>
  <c r="A3" i="15"/>
  <c r="B3" i="15"/>
  <c r="A4" i="15"/>
  <c r="B4" i="15"/>
  <c r="B5" i="15"/>
  <c r="B6" i="15"/>
  <c r="B7" i="15"/>
  <c r="B8" i="15"/>
  <c r="A9" i="15"/>
  <c r="B9" i="15"/>
  <c r="A10" i="15"/>
  <c r="B10" i="15"/>
  <c r="A11" i="15"/>
  <c r="B11" i="15"/>
  <c r="A12" i="15"/>
  <c r="B12" i="15"/>
  <c r="A13" i="15"/>
  <c r="B13" i="15"/>
  <c r="A14" i="15"/>
  <c r="B14" i="15"/>
  <c r="A15" i="15"/>
  <c r="B15" i="15"/>
  <c r="A16" i="15"/>
  <c r="B16" i="15"/>
  <c r="A17" i="15"/>
  <c r="B17" i="15"/>
  <c r="A18" i="15"/>
  <c r="B18" i="15"/>
  <c r="A19" i="15"/>
  <c r="B19" i="15"/>
  <c r="A20" i="15"/>
  <c r="B20" i="15"/>
  <c r="A21" i="15"/>
  <c r="B21" i="15"/>
  <c r="A22" i="15"/>
  <c r="B22" i="15"/>
  <c r="A23" i="15"/>
  <c r="B23" i="15"/>
  <c r="A24" i="15"/>
  <c r="B24" i="15"/>
  <c r="A25" i="15"/>
  <c r="B25" i="15"/>
  <c r="A26" i="15"/>
  <c r="B26" i="15"/>
  <c r="B39" i="15"/>
  <c r="B40" i="15"/>
  <c r="B41" i="15"/>
  <c r="B42" i="15"/>
  <c r="B43" i="15"/>
  <c r="B44" i="15"/>
  <c r="A45" i="15"/>
  <c r="B45" i="15"/>
  <c r="A46" i="15"/>
  <c r="B46" i="15"/>
  <c r="A47" i="15"/>
  <c r="B47" i="15"/>
  <c r="A48" i="15"/>
  <c r="B48" i="15"/>
  <c r="A49" i="15"/>
  <c r="D49" i="15"/>
  <c r="A50" i="15"/>
  <c r="C50" i="15"/>
  <c r="D50" i="15"/>
  <c r="A51" i="15"/>
  <c r="C51" i="15"/>
  <c r="D51" i="15"/>
  <c r="A52" i="15"/>
  <c r="C52" i="15"/>
  <c r="D52" i="15"/>
  <c r="A53" i="15"/>
  <c r="C53" i="15"/>
  <c r="D53" i="15"/>
  <c r="A54" i="15"/>
  <c r="C54" i="15"/>
  <c r="D54" i="15"/>
  <c r="A55" i="15"/>
  <c r="B55" i="15"/>
  <c r="C55" i="15"/>
  <c r="D55" i="15"/>
  <c r="A56" i="15"/>
  <c r="B56" i="15"/>
  <c r="C56" i="15"/>
  <c r="D56" i="15"/>
  <c r="A57" i="15"/>
  <c r="B57" i="15"/>
  <c r="C57" i="15"/>
  <c r="D57" i="15"/>
  <c r="A58" i="15"/>
  <c r="B58" i="15"/>
  <c r="C58" i="15"/>
  <c r="D58" i="15"/>
  <c r="A59" i="15"/>
  <c r="B59" i="15"/>
  <c r="C59" i="15"/>
  <c r="D59" i="15"/>
  <c r="A60" i="15"/>
  <c r="B60" i="15"/>
  <c r="C60" i="15"/>
  <c r="D60" i="15"/>
  <c r="A61" i="15"/>
  <c r="B61" i="15"/>
  <c r="C61" i="15"/>
  <c r="D61" i="15"/>
  <c r="A62" i="15"/>
  <c r="B62" i="15"/>
  <c r="C62" i="15"/>
  <c r="D62" i="15"/>
  <c r="A63" i="15"/>
  <c r="B63" i="15"/>
  <c r="C63" i="15"/>
  <c r="D63" i="15"/>
  <c r="A64" i="15"/>
  <c r="B64" i="15"/>
  <c r="C64" i="15"/>
  <c r="D64" i="15"/>
  <c r="A65" i="15"/>
  <c r="B65" i="15"/>
  <c r="C65" i="15"/>
  <c r="D65" i="15"/>
  <c r="A66" i="15"/>
  <c r="B66" i="15"/>
  <c r="C66" i="15"/>
  <c r="D66" i="15"/>
  <c r="A67" i="15"/>
  <c r="B67" i="15"/>
  <c r="C67" i="15"/>
  <c r="D67" i="15"/>
  <c r="A68" i="15"/>
  <c r="B68" i="15"/>
  <c r="C68" i="15"/>
  <c r="D68" i="15"/>
  <c r="A69" i="15"/>
  <c r="B69" i="15"/>
  <c r="C69" i="15"/>
  <c r="D69" i="15"/>
  <c r="A70" i="15"/>
  <c r="B70" i="15"/>
  <c r="C70" i="15"/>
  <c r="D70" i="15"/>
  <c r="A71" i="15"/>
  <c r="B71" i="15"/>
  <c r="C71" i="15"/>
  <c r="D71" i="15"/>
  <c r="A72" i="15"/>
  <c r="B72" i="15"/>
  <c r="C72" i="15"/>
  <c r="D72" i="15"/>
  <c r="A73" i="15"/>
  <c r="B73" i="15"/>
  <c r="C73" i="15"/>
  <c r="D73" i="15"/>
  <c r="A74" i="15"/>
  <c r="B74" i="15"/>
  <c r="C74" i="15"/>
  <c r="D74" i="15"/>
  <c r="A75" i="15"/>
  <c r="B75" i="15"/>
  <c r="C75" i="15"/>
  <c r="D75" i="15"/>
  <c r="A76" i="15"/>
  <c r="B76" i="15"/>
  <c r="C76" i="15"/>
  <c r="D76" i="15"/>
  <c r="A80" i="15"/>
  <c r="B80" i="15"/>
  <c r="C80" i="15"/>
  <c r="D80" i="15"/>
  <c r="A81" i="15"/>
  <c r="B81" i="15"/>
  <c r="C81" i="15"/>
  <c r="D81" i="15"/>
  <c r="A82" i="15"/>
  <c r="B82" i="15"/>
  <c r="C82" i="15"/>
  <c r="D82" i="15"/>
  <c r="A83" i="15"/>
  <c r="B83" i="15"/>
  <c r="C83" i="15"/>
  <c r="D83" i="15"/>
  <c r="A84" i="15"/>
  <c r="B84" i="15"/>
  <c r="C84" i="15"/>
  <c r="D84" i="15"/>
  <c r="A85" i="15"/>
  <c r="B85" i="15"/>
  <c r="C85" i="15"/>
  <c r="D85" i="15"/>
  <c r="A86" i="15"/>
  <c r="B86" i="15"/>
  <c r="C86" i="15"/>
  <c r="D86" i="15"/>
  <c r="A87" i="15"/>
  <c r="B87" i="15"/>
  <c r="C87" i="15"/>
  <c r="D87" i="15"/>
  <c r="A88" i="15"/>
  <c r="B88" i="15"/>
  <c r="C88" i="15"/>
  <c r="D88" i="15"/>
  <c r="A89" i="15"/>
  <c r="B89" i="15"/>
  <c r="C89" i="15"/>
  <c r="D89" i="15"/>
  <c r="A90" i="15"/>
  <c r="B90" i="15"/>
  <c r="C90" i="15"/>
  <c r="D90" i="15"/>
  <c r="A91" i="15"/>
  <c r="B91" i="15"/>
  <c r="C91" i="15"/>
  <c r="D91" i="15"/>
  <c r="A92" i="15"/>
  <c r="B92" i="15"/>
  <c r="C92" i="15"/>
  <c r="D92" i="15"/>
  <c r="A93" i="15"/>
  <c r="B93" i="15"/>
  <c r="C93" i="15"/>
  <c r="D93" i="15"/>
  <c r="A94" i="15"/>
  <c r="B94" i="15"/>
  <c r="C94" i="15"/>
  <c r="D94" i="15"/>
  <c r="A95" i="15"/>
  <c r="B95" i="15"/>
  <c r="C95" i="15"/>
  <c r="D95" i="15"/>
  <c r="A96" i="15"/>
  <c r="B96" i="15"/>
  <c r="C96" i="15"/>
  <c r="D96" i="15"/>
  <c r="A97" i="15"/>
  <c r="B97" i="15"/>
  <c r="C97" i="15"/>
  <c r="D97" i="15"/>
  <c r="A98" i="15"/>
  <c r="B98" i="15"/>
  <c r="C98" i="15"/>
  <c r="D98" i="15"/>
  <c r="A99" i="15"/>
  <c r="B99" i="15"/>
  <c r="C99" i="15"/>
  <c r="D99" i="15"/>
  <c r="A100" i="15"/>
  <c r="B100" i="15"/>
  <c r="C100" i="15"/>
  <c r="D100" i="15"/>
  <c r="A101" i="15"/>
  <c r="B101" i="15"/>
  <c r="C101" i="15"/>
  <c r="D101" i="15"/>
  <c r="A102" i="15"/>
  <c r="B102" i="15"/>
  <c r="C102" i="15"/>
  <c r="D102" i="15"/>
  <c r="A103" i="15"/>
  <c r="B103" i="15"/>
  <c r="C103" i="15"/>
  <c r="D103" i="15"/>
  <c r="A104" i="15"/>
  <c r="B104" i="15"/>
  <c r="C104" i="15"/>
  <c r="D104" i="15"/>
  <c r="A105" i="15"/>
  <c r="B105" i="15"/>
  <c r="C105" i="15"/>
  <c r="D105" i="15"/>
  <c r="A106" i="15"/>
  <c r="B106" i="15"/>
  <c r="C106" i="15"/>
  <c r="D106" i="15"/>
  <c r="A107" i="15"/>
  <c r="B107" i="15"/>
  <c r="C107" i="15"/>
  <c r="D107" i="15"/>
  <c r="A111" i="15"/>
  <c r="B111" i="15"/>
  <c r="C111" i="15"/>
  <c r="D111" i="15"/>
  <c r="A112" i="15"/>
  <c r="B112" i="15"/>
  <c r="C112" i="15"/>
  <c r="D112" i="15"/>
  <c r="A113" i="15"/>
  <c r="B113" i="15"/>
  <c r="C113" i="15"/>
  <c r="D113" i="15"/>
  <c r="A114" i="15"/>
  <c r="B114" i="15"/>
  <c r="C114" i="15"/>
  <c r="D114" i="15"/>
  <c r="A115" i="15"/>
  <c r="B115" i="15"/>
  <c r="C115" i="15"/>
  <c r="D115" i="15"/>
  <c r="A116" i="15"/>
  <c r="B116" i="15"/>
  <c r="C116" i="15"/>
  <c r="D116" i="15"/>
  <c r="A117" i="15"/>
  <c r="B117" i="15"/>
  <c r="C117" i="15"/>
  <c r="D117" i="15"/>
  <c r="A118" i="15"/>
  <c r="B118" i="15"/>
  <c r="C118" i="15"/>
  <c r="D118" i="15"/>
  <c r="A119" i="15"/>
  <c r="B119" i="15"/>
  <c r="C119" i="15"/>
  <c r="D119" i="15"/>
  <c r="A120" i="15"/>
  <c r="B120" i="15"/>
  <c r="C120" i="15"/>
  <c r="D120" i="15"/>
  <c r="A121" i="15"/>
  <c r="B121" i="15"/>
  <c r="C121" i="15"/>
  <c r="D121" i="15"/>
  <c r="A122" i="15"/>
  <c r="B122" i="15"/>
  <c r="C122" i="15"/>
  <c r="D122" i="15"/>
  <c r="A123" i="15"/>
  <c r="B123" i="15"/>
  <c r="C123" i="15"/>
  <c r="D123" i="15"/>
  <c r="A124" i="15"/>
  <c r="B124" i="15"/>
  <c r="C124" i="15"/>
  <c r="D124" i="15"/>
  <c r="A125" i="15"/>
  <c r="B125" i="15"/>
  <c r="C125" i="15"/>
  <c r="D125" i="15"/>
  <c r="A126" i="15"/>
  <c r="B126" i="15"/>
  <c r="C126" i="15"/>
  <c r="D126" i="15"/>
  <c r="A127" i="15"/>
  <c r="B127" i="15"/>
  <c r="C127" i="15"/>
  <c r="D127" i="15"/>
  <c r="A128" i="15"/>
  <c r="B128" i="15"/>
  <c r="C128" i="15"/>
  <c r="D128" i="15"/>
  <c r="A129" i="15"/>
  <c r="B129" i="15"/>
  <c r="C129" i="15"/>
  <c r="D129" i="15"/>
  <c r="A130" i="15"/>
  <c r="B130" i="15"/>
  <c r="C130" i="15"/>
  <c r="D130" i="15"/>
  <c r="A131" i="15"/>
  <c r="B131" i="15"/>
  <c r="C131" i="15"/>
  <c r="D131" i="15"/>
  <c r="A132" i="15"/>
  <c r="B132" i="15"/>
  <c r="C132" i="15"/>
  <c r="D132" i="15"/>
  <c r="A133" i="15"/>
  <c r="B133" i="15"/>
  <c r="C133" i="15"/>
  <c r="D133" i="15"/>
  <c r="A134" i="15"/>
  <c r="B134" i="15"/>
  <c r="C134" i="15"/>
  <c r="D134" i="15"/>
  <c r="A135" i="15"/>
  <c r="B135" i="15"/>
  <c r="C135" i="15"/>
  <c r="D135" i="15"/>
  <c r="A136" i="15"/>
  <c r="B136" i="15"/>
  <c r="C136" i="15"/>
  <c r="D136" i="15"/>
  <c r="A137" i="15"/>
  <c r="B137" i="15"/>
  <c r="C137" i="15"/>
  <c r="D137" i="15"/>
  <c r="A138" i="15"/>
  <c r="B138" i="15"/>
  <c r="C138" i="15"/>
  <c r="D138" i="15"/>
  <c r="B37" i="17"/>
  <c r="W1047" i="17" l="1"/>
  <c r="W1043" i="17"/>
  <c r="W1039" i="17"/>
  <c r="W1035" i="17"/>
  <c r="W1031" i="17"/>
  <c r="W1027" i="17"/>
  <c r="W1023" i="17"/>
  <c r="W1019" i="17"/>
  <c r="W1015" i="17"/>
  <c r="W1011" i="17"/>
  <c r="W1007" i="17"/>
  <c r="W1003" i="17"/>
  <c r="W999" i="17"/>
  <c r="W995" i="17"/>
  <c r="W991" i="17"/>
  <c r="W987" i="17"/>
  <c r="W983" i="17"/>
  <c r="W979" i="17"/>
  <c r="W975" i="17"/>
  <c r="W971" i="17"/>
  <c r="W967" i="17"/>
  <c r="W963" i="17"/>
  <c r="W959" i="17"/>
  <c r="W955" i="17"/>
  <c r="C5" i="17"/>
  <c r="W1042" i="17"/>
  <c r="W1034" i="17"/>
  <c r="W1026" i="17"/>
  <c r="W1018" i="17"/>
  <c r="W1008" i="17"/>
  <c r="W1002" i="17"/>
  <c r="W989" i="17"/>
  <c r="W976" i="17"/>
  <c r="W970" i="17"/>
  <c r="W957" i="17"/>
  <c r="W944" i="17"/>
  <c r="W941" i="17"/>
  <c r="W938" i="17"/>
  <c r="W1044" i="17"/>
  <c r="W1036" i="17"/>
  <c r="W1028" i="17"/>
  <c r="W1020" i="17"/>
  <c r="W1012" i="17"/>
  <c r="W1006" i="17"/>
  <c r="W993" i="17"/>
  <c r="W980" i="17"/>
  <c r="W974" i="17"/>
  <c r="W961" i="17"/>
  <c r="W953" i="17"/>
  <c r="W950" i="17"/>
  <c r="W947" i="17"/>
  <c r="W935" i="17"/>
  <c r="W931" i="17"/>
  <c r="W927" i="17"/>
  <c r="W923" i="17"/>
  <c r="W919" i="17"/>
  <c r="W915" i="17"/>
  <c r="W911" i="17"/>
  <c r="W907" i="17"/>
  <c r="W903" i="17"/>
  <c r="W899" i="17"/>
  <c r="W1046" i="17"/>
  <c r="W1038" i="17"/>
  <c r="W1030" i="17"/>
  <c r="W1022" i="17"/>
  <c r="W1014" i="17"/>
  <c r="W1005" i="17"/>
  <c r="W992" i="17"/>
  <c r="W986" i="17"/>
  <c r="W973" i="17"/>
  <c r="W960" i="17"/>
  <c r="W954" i="17"/>
  <c r="W951" i="17"/>
  <c r="W1017" i="17"/>
  <c r="W1013" i="17"/>
  <c r="W1009" i="17"/>
  <c r="W982" i="17"/>
  <c r="W968" i="17"/>
  <c r="W958" i="17"/>
  <c r="W952" i="17"/>
  <c r="W933" i="17"/>
  <c r="W916" i="17"/>
  <c r="W914" i="17"/>
  <c r="W901" i="17"/>
  <c r="W1025" i="17"/>
  <c r="W1021" i="17"/>
  <c r="W1016" i="17"/>
  <c r="W988" i="17"/>
  <c r="W985" i="17"/>
  <c r="W978" i="17"/>
  <c r="W964" i="17"/>
  <c r="W942" i="17"/>
  <c r="W937" i="17"/>
  <c r="W920" i="17"/>
  <c r="W918" i="17"/>
  <c r="W905" i="17"/>
  <c r="W890" i="17"/>
  <c r="W886" i="17"/>
  <c r="W882" i="17"/>
  <c r="W878" i="17"/>
  <c r="W874" i="17"/>
  <c r="W870" i="17"/>
  <c r="W866" i="17"/>
  <c r="W862" i="17"/>
  <c r="W858" i="17"/>
  <c r="W854" i="17"/>
  <c r="W1045" i="17"/>
  <c r="W1040" i="17"/>
  <c r="W1004" i="17"/>
  <c r="W997" i="17"/>
  <c r="W994" i="17"/>
  <c r="W956" i="17"/>
  <c r="W946" i="17"/>
  <c r="W932" i="17"/>
  <c r="W930" i="17"/>
  <c r="W917" i="17"/>
  <c r="W900" i="17"/>
  <c r="W895" i="17"/>
  <c r="W1048" i="17"/>
  <c r="W1032" i="17"/>
  <c r="W1001" i="17"/>
  <c r="W990" i="17"/>
  <c r="W984" i="17"/>
  <c r="W945" i="17"/>
  <c r="W913" i="17"/>
  <c r="W910" i="17"/>
  <c r="W892" i="17"/>
  <c r="W875" i="17"/>
  <c r="W873" i="17"/>
  <c r="W860" i="17"/>
  <c r="W850" i="17"/>
  <c r="W847" i="17"/>
  <c r="W844" i="17"/>
  <c r="W841" i="17"/>
  <c r="W1024" i="17"/>
  <c r="W1000" i="17"/>
  <c r="W948" i="17"/>
  <c r="W909" i="17"/>
  <c r="W906" i="17"/>
  <c r="W894" i="17"/>
  <c r="W879" i="17"/>
  <c r="W877" i="17"/>
  <c r="W864" i="17"/>
  <c r="W838" i="17"/>
  <c r="W834" i="17"/>
  <c r="W830" i="17"/>
  <c r="W826" i="17"/>
  <c r="W822" i="17"/>
  <c r="W818" i="17"/>
  <c r="W814" i="17"/>
  <c r="W810" i="17"/>
  <c r="W1029" i="17"/>
  <c r="W966" i="17"/>
  <c r="W943" i="17"/>
  <c r="W939" i="17"/>
  <c r="W925" i="17"/>
  <c r="W908" i="17"/>
  <c r="W898" i="17"/>
  <c r="W891" i="17"/>
  <c r="W889" i="17"/>
  <c r="W876" i="17"/>
  <c r="W859" i="17"/>
  <c r="W857" i="17"/>
  <c r="W996" i="17"/>
  <c r="W977" i="17"/>
  <c r="W969" i="17"/>
  <c r="W1033" i="17"/>
  <c r="W1010" i="17"/>
  <c r="W921" i="17"/>
  <c r="W885" i="17"/>
  <c r="W861" i="17"/>
  <c r="W851" i="17"/>
  <c r="W846" i="17"/>
  <c r="W839" i="17"/>
  <c r="W837" i="17"/>
  <c r="W824" i="17"/>
  <c r="W807" i="17"/>
  <c r="W804" i="17"/>
  <c r="W801" i="17"/>
  <c r="W795" i="17"/>
  <c r="W791" i="17"/>
  <c r="W787" i="17"/>
  <c r="W783" i="17"/>
  <c r="W779" i="17"/>
  <c r="W775" i="17"/>
  <c r="W771" i="17"/>
  <c r="W767" i="17"/>
  <c r="W763" i="17"/>
  <c r="W759" i="17"/>
  <c r="W755" i="17"/>
  <c r="W751" i="17"/>
  <c r="W747" i="17"/>
  <c r="W743" i="17"/>
  <c r="W739" i="17"/>
  <c r="W735" i="17"/>
  <c r="W731" i="17"/>
  <c r="W727" i="17"/>
  <c r="W723" i="17"/>
  <c r="W719" i="17"/>
  <c r="W715" i="17"/>
  <c r="W711" i="17"/>
  <c r="W707" i="17"/>
  <c r="W703" i="17"/>
  <c r="W699" i="17"/>
  <c r="W695" i="17"/>
  <c r="W691" i="17"/>
  <c r="W687" i="17"/>
  <c r="W683" i="17"/>
  <c r="W679" i="17"/>
  <c r="W675" i="17"/>
  <c r="W671" i="17"/>
  <c r="W667" i="17"/>
  <c r="W663" i="17"/>
  <c r="W659" i="17"/>
  <c r="W655" i="17"/>
  <c r="W1041" i="17"/>
  <c r="W965" i="17"/>
  <c r="W926" i="17"/>
  <c r="W904" i="17"/>
  <c r="W888" i="17"/>
  <c r="W881" i="17"/>
  <c r="W871" i="17"/>
  <c r="W828" i="17"/>
  <c r="W811" i="17"/>
  <c r="W809" i="17"/>
  <c r="W981" i="17"/>
  <c r="W1037" i="17"/>
  <c r="W962" i="17"/>
  <c r="W924" i="17"/>
  <c r="W902" i="17"/>
  <c r="W883" i="17"/>
  <c r="W856" i="17"/>
  <c r="W845" i="17"/>
  <c r="W840" i="17"/>
  <c r="W823" i="17"/>
  <c r="W821" i="17"/>
  <c r="W808" i="17"/>
  <c r="W793" i="17"/>
  <c r="W789" i="17"/>
  <c r="W785" i="17"/>
  <c r="W781" i="17"/>
  <c r="W777" i="17"/>
  <c r="W773" i="17"/>
  <c r="W769" i="17"/>
  <c r="W765" i="17"/>
  <c r="W761" i="17"/>
  <c r="W757" i="17"/>
  <c r="W753" i="17"/>
  <c r="W749" i="17"/>
  <c r="W745" i="17"/>
  <c r="W741" i="17"/>
  <c r="W737" i="17"/>
  <c r="W733" i="17"/>
  <c r="W729" i="17"/>
  <c r="W725" i="17"/>
  <c r="W721" i="17"/>
  <c r="W717" i="17"/>
  <c r="W713" i="17"/>
  <c r="W709" i="17"/>
  <c r="W705" i="17"/>
  <c r="W701" i="17"/>
  <c r="W697" i="17"/>
  <c r="W693" i="17"/>
  <c r="W689" i="17"/>
  <c r="W685" i="17"/>
  <c r="W681" i="17"/>
  <c r="W677" i="17"/>
  <c r="W673" i="17"/>
  <c r="W669" i="17"/>
  <c r="W665" i="17"/>
  <c r="W661" i="17"/>
  <c r="W657" i="17"/>
  <c r="W653" i="17"/>
  <c r="W872" i="17"/>
  <c r="W832" i="17"/>
  <c r="W829" i="17"/>
  <c r="W815" i="17"/>
  <c r="W803" i="17"/>
  <c r="W768" i="17"/>
  <c r="W766" i="17"/>
  <c r="W736" i="17"/>
  <c r="W734" i="17"/>
  <c r="W704" i="17"/>
  <c r="W702" i="17"/>
  <c r="W672" i="17"/>
  <c r="W670" i="17"/>
  <c r="W934" i="17"/>
  <c r="W887" i="17"/>
  <c r="W835" i="17"/>
  <c r="W805" i="17"/>
  <c r="W800" i="17"/>
  <c r="W776" i="17"/>
  <c r="W774" i="17"/>
  <c r="W744" i="17"/>
  <c r="W742" i="17"/>
  <c r="W712" i="17"/>
  <c r="W710" i="17"/>
  <c r="W972" i="17"/>
  <c r="W940" i="17"/>
  <c r="W897" i="17"/>
  <c r="W880" i="17"/>
  <c r="W853" i="17"/>
  <c r="W849" i="17"/>
  <c r="W827" i="17"/>
  <c r="W817" i="17"/>
  <c r="W797" i="17"/>
  <c r="W784" i="17"/>
  <c r="W782" i="17"/>
  <c r="W752" i="17"/>
  <c r="W750" i="17"/>
  <c r="W720" i="17"/>
  <c r="W718" i="17"/>
  <c r="W688" i="17"/>
  <c r="W686" i="17"/>
  <c r="W852" i="17"/>
  <c r="W799" i="17"/>
  <c r="W792" i="17"/>
  <c r="W758" i="17"/>
  <c r="W700" i="17"/>
  <c r="W676" i="17"/>
  <c r="W664" i="17"/>
  <c r="W936" i="17"/>
  <c r="W922" i="17"/>
  <c r="W896" i="17"/>
  <c r="W869" i="17"/>
  <c r="W812" i="17"/>
  <c r="W949" i="17"/>
  <c r="W868" i="17"/>
  <c r="W806" i="17"/>
  <c r="W802" i="17"/>
  <c r="W998" i="17"/>
  <c r="W893" i="17"/>
  <c r="W884" i="17"/>
  <c r="W867" i="17"/>
  <c r="W833" i="17"/>
  <c r="W816" i="17"/>
  <c r="W798" i="17"/>
  <c r="W760" i="17"/>
  <c r="W726" i="17"/>
  <c r="W680" i="17"/>
  <c r="W668" i="17"/>
  <c r="W650" i="17"/>
  <c r="W646" i="17"/>
  <c r="W642" i="17"/>
  <c r="W638" i="17"/>
  <c r="W634" i="17"/>
  <c r="W630" i="17"/>
  <c r="W626" i="17"/>
  <c r="W622" i="17"/>
  <c r="W843" i="17"/>
  <c r="W794" i="17"/>
  <c r="W780" i="17"/>
  <c r="W770" i="17"/>
  <c r="W756" i="17"/>
  <c r="W746" i="17"/>
  <c r="W722" i="17"/>
  <c r="W658" i="17"/>
  <c r="W929" i="17"/>
  <c r="W865" i="17"/>
  <c r="W848" i="17"/>
  <c r="W842" i="17"/>
  <c r="W831" i="17"/>
  <c r="W820" i="17"/>
  <c r="W790" i="17"/>
  <c r="W732" i="17"/>
  <c r="W708" i="17"/>
  <c r="W698" i="17"/>
  <c r="W682" i="17"/>
  <c r="W660" i="17"/>
  <c r="W647" i="17"/>
  <c r="W643" i="17"/>
  <c r="W639" i="17"/>
  <c r="W635" i="17"/>
  <c r="W631" i="17"/>
  <c r="W627" i="17"/>
  <c r="W912" i="17"/>
  <c r="W819" i="17"/>
  <c r="W813" i="17"/>
  <c r="W796" i="17"/>
  <c r="W772" i="17"/>
  <c r="W762" i="17"/>
  <c r="W748" i="17"/>
  <c r="W738" i="17"/>
  <c r="W724" i="17"/>
  <c r="W714" i="17"/>
  <c r="W690" i="17"/>
  <c r="W674" i="17"/>
  <c r="W662" i="17"/>
  <c r="W651" i="17"/>
  <c r="W648" i="17"/>
  <c r="W644" i="17"/>
  <c r="W640" i="17"/>
  <c r="W636" i="17"/>
  <c r="W632" i="17"/>
  <c r="W628" i="17"/>
  <c r="W624" i="17"/>
  <c r="W620" i="17"/>
  <c r="W863" i="17"/>
  <c r="W778" i="17"/>
  <c r="W706" i="17"/>
  <c r="W855" i="17"/>
  <c r="W786" i="17"/>
  <c r="W654" i="17"/>
  <c r="W649" i="17"/>
  <c r="W617" i="17"/>
  <c r="W613" i="17"/>
  <c r="W609" i="17"/>
  <c r="W605" i="17"/>
  <c r="W601" i="17"/>
  <c r="W597" i="17"/>
  <c r="W593" i="17"/>
  <c r="W589" i="17"/>
  <c r="W585" i="17"/>
  <c r="W581" i="17"/>
  <c r="W577" i="17"/>
  <c r="W573" i="17"/>
  <c r="W928" i="17"/>
  <c r="W740" i="17"/>
  <c r="W694" i="17"/>
  <c r="W666" i="17"/>
  <c r="W645" i="17"/>
  <c r="W730" i="17"/>
  <c r="W684" i="17"/>
  <c r="W678" i="17"/>
  <c r="W641" i="17"/>
  <c r="W625" i="17"/>
  <c r="W618" i="17"/>
  <c r="W614" i="17"/>
  <c r="W610" i="17"/>
  <c r="W606" i="17"/>
  <c r="W602" i="17"/>
  <c r="W598" i="17"/>
  <c r="W594" i="17"/>
  <c r="W590" i="17"/>
  <c r="W586" i="17"/>
  <c r="W582" i="17"/>
  <c r="W578" i="17"/>
  <c r="W574" i="17"/>
  <c r="W570" i="17"/>
  <c r="W566" i="17"/>
  <c r="W562" i="17"/>
  <c r="W558" i="17"/>
  <c r="W554" i="17"/>
  <c r="W550" i="17"/>
  <c r="W546" i="17"/>
  <c r="W542" i="17"/>
  <c r="W538" i="17"/>
  <c r="W534" i="17"/>
  <c r="W530" i="17"/>
  <c r="W526" i="17"/>
  <c r="W522" i="17"/>
  <c r="W518" i="17"/>
  <c r="W514" i="17"/>
  <c r="W510" i="17"/>
  <c r="W506" i="17"/>
  <c r="W502" i="17"/>
  <c r="W498" i="17"/>
  <c r="W494" i="17"/>
  <c r="W490" i="17"/>
  <c r="W486" i="17"/>
  <c r="W482" i="17"/>
  <c r="W478" i="17"/>
  <c r="W474" i="17"/>
  <c r="W470" i="17"/>
  <c r="W466" i="17"/>
  <c r="W462" i="17"/>
  <c r="W458" i="17"/>
  <c r="W454" i="17"/>
  <c r="W450" i="17"/>
  <c r="W446" i="17"/>
  <c r="W442" i="17"/>
  <c r="W438" i="17"/>
  <c r="W836" i="17"/>
  <c r="W728" i="17"/>
  <c r="W692" i="17"/>
  <c r="W652" i="17"/>
  <c r="W637" i="17"/>
  <c r="W623" i="17"/>
  <c r="W764" i="17"/>
  <c r="W754" i="17"/>
  <c r="W788" i="17"/>
  <c r="W716" i="17"/>
  <c r="W616" i="17"/>
  <c r="W612" i="17"/>
  <c r="W608" i="17"/>
  <c r="W604" i="17"/>
  <c r="W600" i="17"/>
  <c r="W596" i="17"/>
  <c r="W592" i="17"/>
  <c r="W588" i="17"/>
  <c r="W584" i="17"/>
  <c r="W580" i="17"/>
  <c r="W576" i="17"/>
  <c r="W572" i="17"/>
  <c r="W568" i="17"/>
  <c r="W564" i="17"/>
  <c r="W560" i="17"/>
  <c r="W556" i="17"/>
  <c r="W552" i="17"/>
  <c r="W548" i="17"/>
  <c r="W544" i="17"/>
  <c r="W540" i="17"/>
  <c r="W536" i="17"/>
  <c r="W532" i="17"/>
  <c r="W528" i="17"/>
  <c r="W524" i="17"/>
  <c r="W520" i="17"/>
  <c r="W516" i="17"/>
  <c r="W512" i="17"/>
  <c r="W508" i="17"/>
  <c r="W504" i="17"/>
  <c r="W500" i="17"/>
  <c r="W496" i="17"/>
  <c r="W492" i="17"/>
  <c r="W488" i="17"/>
  <c r="W484" i="17"/>
  <c r="W480" i="17"/>
  <c r="W476" i="17"/>
  <c r="W472" i="17"/>
  <c r="W468" i="17"/>
  <c r="W464" i="17"/>
  <c r="W460" i="17"/>
  <c r="W456" i="17"/>
  <c r="W452" i="17"/>
  <c r="W448" i="17"/>
  <c r="W444" i="17"/>
  <c r="W440" i="17"/>
  <c r="W436" i="17"/>
  <c r="W633" i="17"/>
  <c r="W595" i="17"/>
  <c r="W563" i="17"/>
  <c r="W561" i="17"/>
  <c r="W531" i="17"/>
  <c r="W529" i="17"/>
  <c r="W825" i="17"/>
  <c r="W591" i="17"/>
  <c r="W535" i="17"/>
  <c r="W533" i="17"/>
  <c r="W503" i="17"/>
  <c r="W501" i="17"/>
  <c r="W471" i="17"/>
  <c r="W469" i="17"/>
  <c r="W439" i="17"/>
  <c r="W437" i="17"/>
  <c r="W587" i="17"/>
  <c r="W565" i="17"/>
  <c r="W539" i="17"/>
  <c r="W537" i="17"/>
  <c r="W507" i="17"/>
  <c r="W505" i="17"/>
  <c r="W475" i="17"/>
  <c r="W473" i="17"/>
  <c r="W443" i="17"/>
  <c r="W441" i="17"/>
  <c r="W435" i="17"/>
  <c r="W429" i="17"/>
  <c r="W425" i="17"/>
  <c r="W421" i="17"/>
  <c r="W417" i="17"/>
  <c r="W413" i="17"/>
  <c r="W619" i="17"/>
  <c r="W615" i="17"/>
  <c r="W583" i="17"/>
  <c r="W567" i="17"/>
  <c r="W543" i="17"/>
  <c r="W541" i="17"/>
  <c r="W511" i="17"/>
  <c r="W509" i="17"/>
  <c r="W479" i="17"/>
  <c r="W477" i="17"/>
  <c r="W447" i="17"/>
  <c r="W445" i="17"/>
  <c r="W433" i="17"/>
  <c r="W629" i="17"/>
  <c r="W611" i="17"/>
  <c r="W579" i="17"/>
  <c r="W547" i="17"/>
  <c r="W545" i="17"/>
  <c r="W515" i="17"/>
  <c r="W513" i="17"/>
  <c r="W607" i="17"/>
  <c r="W575" i="17"/>
  <c r="W551" i="17"/>
  <c r="W549" i="17"/>
  <c r="W519" i="17"/>
  <c r="W517" i="17"/>
  <c r="W487" i="17"/>
  <c r="W485" i="17"/>
  <c r="W455" i="17"/>
  <c r="W453" i="17"/>
  <c r="W656" i="17"/>
  <c r="W621" i="17"/>
  <c r="W599" i="17"/>
  <c r="W571" i="17"/>
  <c r="W559" i="17"/>
  <c r="W557" i="17"/>
  <c r="W527" i="17"/>
  <c r="W525" i="17"/>
  <c r="W495" i="17"/>
  <c r="W493" i="17"/>
  <c r="W463" i="17"/>
  <c r="W461" i="17"/>
  <c r="W434" i="17"/>
  <c r="W467" i="17"/>
  <c r="W431" i="17"/>
  <c r="W423" i="17"/>
  <c r="W415" i="17"/>
  <c r="W410" i="17"/>
  <c r="W395" i="17"/>
  <c r="W393" i="17"/>
  <c r="W380" i="17"/>
  <c r="W378" i="17"/>
  <c r="W363" i="17"/>
  <c r="W361" i="17"/>
  <c r="W345" i="17"/>
  <c r="W336" i="17"/>
  <c r="W329" i="17"/>
  <c r="W696" i="17"/>
  <c r="W489" i="17"/>
  <c r="W483" i="17"/>
  <c r="W449" i="17"/>
  <c r="W428" i="17"/>
  <c r="W420" i="17"/>
  <c r="W412" i="17"/>
  <c r="W399" i="17"/>
  <c r="W397" i="17"/>
  <c r="W384" i="17"/>
  <c r="W382" i="17"/>
  <c r="W367" i="17"/>
  <c r="W365" i="17"/>
  <c r="W352" i="17"/>
  <c r="W350" i="17"/>
  <c r="W343" i="17"/>
  <c r="W334" i="17"/>
  <c r="W403" i="17"/>
  <c r="W401" i="17"/>
  <c r="W388" i="17"/>
  <c r="W386" i="17"/>
  <c r="W371" i="17"/>
  <c r="W369" i="17"/>
  <c r="W356" i="17"/>
  <c r="W354" i="17"/>
  <c r="W348" i="17"/>
  <c r="W341" i="17"/>
  <c r="W332" i="17"/>
  <c r="W523" i="17"/>
  <c r="W499" i="17"/>
  <c r="W465" i="17"/>
  <c r="W459" i="17"/>
  <c r="W430" i="17"/>
  <c r="W422" i="17"/>
  <c r="W414" i="17"/>
  <c r="W407" i="17"/>
  <c r="W405" i="17"/>
  <c r="W392" i="17"/>
  <c r="W390" i="17"/>
  <c r="W375" i="17"/>
  <c r="W373" i="17"/>
  <c r="W360" i="17"/>
  <c r="W358" i="17"/>
  <c r="W346" i="17"/>
  <c r="W339" i="17"/>
  <c r="W330" i="17"/>
  <c r="W327" i="17"/>
  <c r="W323" i="17"/>
  <c r="W319" i="17"/>
  <c r="W315" i="17"/>
  <c r="W311" i="17"/>
  <c r="W307" i="17"/>
  <c r="W303" i="17"/>
  <c r="W299" i="17"/>
  <c r="W295" i="17"/>
  <c r="W291" i="17"/>
  <c r="W287" i="17"/>
  <c r="W283" i="17"/>
  <c r="W279" i="17"/>
  <c r="W275" i="17"/>
  <c r="W271" i="17"/>
  <c r="W267" i="17"/>
  <c r="W263" i="17"/>
  <c r="W259" i="17"/>
  <c r="W255" i="17"/>
  <c r="W251" i="17"/>
  <c r="W247" i="17"/>
  <c r="W243" i="17"/>
  <c r="W239" i="17"/>
  <c r="W235" i="17"/>
  <c r="W231" i="17"/>
  <c r="W227" i="17"/>
  <c r="W223" i="17"/>
  <c r="W219" i="17"/>
  <c r="W215" i="17"/>
  <c r="W211" i="17"/>
  <c r="W207" i="17"/>
  <c r="W203" i="17"/>
  <c r="W199" i="17"/>
  <c r="W195" i="17"/>
  <c r="W603" i="17"/>
  <c r="W555" i="17"/>
  <c r="W521" i="17"/>
  <c r="W481" i="17"/>
  <c r="W427" i="17"/>
  <c r="W419" i="17"/>
  <c r="W411" i="17"/>
  <c r="W409" i="17"/>
  <c r="W396" i="17"/>
  <c r="W394" i="17"/>
  <c r="W379" i="17"/>
  <c r="W377" i="17"/>
  <c r="W364" i="17"/>
  <c r="W362" i="17"/>
  <c r="W344" i="17"/>
  <c r="W337" i="17"/>
  <c r="W553" i="17"/>
  <c r="W432" i="17"/>
  <c r="W424" i="17"/>
  <c r="W416" i="17"/>
  <c r="W400" i="17"/>
  <c r="W398" i="17"/>
  <c r="W383" i="17"/>
  <c r="W381" i="17"/>
  <c r="W368" i="17"/>
  <c r="W366" i="17"/>
  <c r="W351" i="17"/>
  <c r="W342" i="17"/>
  <c r="W426" i="17"/>
  <c r="W418" i="17"/>
  <c r="W408" i="17"/>
  <c r="W406" i="17"/>
  <c r="W391" i="17"/>
  <c r="W389" i="17"/>
  <c r="W376" i="17"/>
  <c r="W374" i="17"/>
  <c r="W359" i="17"/>
  <c r="W357" i="17"/>
  <c r="W347" i="17"/>
  <c r="W338" i="17"/>
  <c r="W331" i="17"/>
  <c r="W325" i="17"/>
  <c r="W321" i="17"/>
  <c r="W317" i="17"/>
  <c r="W313" i="17"/>
  <c r="W309" i="17"/>
  <c r="W305" i="17"/>
  <c r="W301" i="17"/>
  <c r="W297" i="17"/>
  <c r="W293" i="17"/>
  <c r="W289" i="17"/>
  <c r="W285" i="17"/>
  <c r="W281" i="17"/>
  <c r="W277" i="17"/>
  <c r="W273" i="17"/>
  <c r="W269" i="17"/>
  <c r="W265" i="17"/>
  <c r="W261" i="17"/>
  <c r="W257" i="17"/>
  <c r="W253" i="17"/>
  <c r="W249" i="17"/>
  <c r="W245" i="17"/>
  <c r="W241" i="17"/>
  <c r="W237" i="17"/>
  <c r="W233" i="17"/>
  <c r="W229" i="17"/>
  <c r="W225" i="17"/>
  <c r="W221" i="17"/>
  <c r="W217" i="17"/>
  <c r="W213" i="17"/>
  <c r="W209" i="17"/>
  <c r="W205" i="17"/>
  <c r="W201" i="17"/>
  <c r="W197" i="17"/>
  <c r="W193" i="17"/>
  <c r="W189" i="17"/>
  <c r="W185" i="17"/>
  <c r="W181" i="17"/>
  <c r="W177" i="17"/>
  <c r="W173" i="17"/>
  <c r="W169" i="17"/>
  <c r="W491" i="17"/>
  <c r="W349" i="17"/>
  <c r="W318" i="17"/>
  <c r="W306" i="17"/>
  <c r="W280" i="17"/>
  <c r="W278" i="17"/>
  <c r="W248" i="17"/>
  <c r="W246" i="17"/>
  <c r="W216" i="17"/>
  <c r="W214" i="17"/>
  <c r="W191" i="17"/>
  <c r="W182" i="17"/>
  <c r="W175" i="17"/>
  <c r="W166" i="17"/>
  <c r="W162" i="17"/>
  <c r="W158" i="17"/>
  <c r="W154" i="17"/>
  <c r="W335" i="17"/>
  <c r="W328" i="17"/>
  <c r="W314" i="17"/>
  <c r="W284" i="17"/>
  <c r="W282" i="17"/>
  <c r="W252" i="17"/>
  <c r="W250" i="17"/>
  <c r="W220" i="17"/>
  <c r="W218" i="17"/>
  <c r="W180" i="17"/>
  <c r="W569" i="17"/>
  <c r="W324" i="17"/>
  <c r="W308" i="17"/>
  <c r="W288" i="17"/>
  <c r="W286" i="17"/>
  <c r="W256" i="17"/>
  <c r="W254" i="17"/>
  <c r="W224" i="17"/>
  <c r="W222" i="17"/>
  <c r="W187" i="17"/>
  <c r="W178" i="17"/>
  <c r="W171" i="17"/>
  <c r="W163" i="17"/>
  <c r="W320" i="17"/>
  <c r="W292" i="17"/>
  <c r="W290" i="17"/>
  <c r="W260" i="17"/>
  <c r="W258" i="17"/>
  <c r="W228" i="17"/>
  <c r="W226" i="17"/>
  <c r="W196" i="17"/>
  <c r="W194" i="17"/>
  <c r="W192" i="17"/>
  <c r="W176" i="17"/>
  <c r="W333" i="17"/>
  <c r="W316" i="17"/>
  <c r="W310" i="17"/>
  <c r="W296" i="17"/>
  <c r="W294" i="17"/>
  <c r="W264" i="17"/>
  <c r="W262" i="17"/>
  <c r="W232" i="17"/>
  <c r="W230" i="17"/>
  <c r="W200" i="17"/>
  <c r="W198" i="17"/>
  <c r="W190" i="17"/>
  <c r="W183" i="17"/>
  <c r="W174" i="17"/>
  <c r="W167" i="17"/>
  <c r="W164" i="17"/>
  <c r="W160" i="17"/>
  <c r="W156" i="17"/>
  <c r="W372" i="17"/>
  <c r="W355" i="17"/>
  <c r="W340" i="17"/>
  <c r="W300" i="17"/>
  <c r="W298" i="17"/>
  <c r="W268" i="17"/>
  <c r="W266" i="17"/>
  <c r="W236" i="17"/>
  <c r="W234" i="17"/>
  <c r="W204" i="17"/>
  <c r="W202" i="17"/>
  <c r="W188" i="17"/>
  <c r="W172" i="17"/>
  <c r="W497" i="17"/>
  <c r="W451" i="17"/>
  <c r="W402" i="17"/>
  <c r="W385" i="17"/>
  <c r="W322" i="17"/>
  <c r="W276" i="17"/>
  <c r="W274" i="17"/>
  <c r="W244" i="17"/>
  <c r="W242" i="17"/>
  <c r="W212" i="17"/>
  <c r="W210" i="17"/>
  <c r="W184" i="17"/>
  <c r="W168" i="17"/>
  <c r="W304" i="17"/>
  <c r="W270" i="17"/>
  <c r="W186" i="17"/>
  <c r="W161" i="17"/>
  <c r="W145" i="17"/>
  <c r="W143" i="17"/>
  <c r="W130" i="17"/>
  <c r="W128" i="17"/>
  <c r="W111" i="17"/>
  <c r="W98" i="17"/>
  <c r="W96" i="17"/>
  <c r="W81" i="17"/>
  <c r="W79" i="17"/>
  <c r="W66" i="17"/>
  <c r="W44" i="17"/>
  <c r="W206" i="17"/>
  <c r="W135" i="17"/>
  <c r="W120" i="17"/>
  <c r="W457" i="17"/>
  <c r="W326" i="17"/>
  <c r="W302" i="17"/>
  <c r="W165" i="17"/>
  <c r="W157" i="17"/>
  <c r="W149" i="17"/>
  <c r="W147" i="17"/>
  <c r="W134" i="17"/>
  <c r="W132" i="17"/>
  <c r="W117" i="17"/>
  <c r="W115" i="17"/>
  <c r="W102" i="17"/>
  <c r="W100" i="17"/>
  <c r="W85" i="17"/>
  <c r="W83" i="17"/>
  <c r="W70" i="17"/>
  <c r="W68" i="17"/>
  <c r="W53" i="17"/>
  <c r="W51" i="17"/>
  <c r="W42" i="17"/>
  <c r="W35" i="17"/>
  <c r="W27" i="17"/>
  <c r="W23" i="17"/>
  <c r="W19" i="17"/>
  <c r="W15" i="17"/>
  <c r="W11" i="17"/>
  <c r="W7" i="17"/>
  <c r="W105" i="17"/>
  <c r="W32" i="17"/>
  <c r="W153" i="17"/>
  <c r="W151" i="17"/>
  <c r="W138" i="17"/>
  <c r="W136" i="17"/>
  <c r="W121" i="17"/>
  <c r="W119" i="17"/>
  <c r="W106" i="17"/>
  <c r="W104" i="17"/>
  <c r="W89" i="17"/>
  <c r="W87" i="17"/>
  <c r="W74" i="17"/>
  <c r="W72" i="17"/>
  <c r="W57" i="17"/>
  <c r="W55" i="17"/>
  <c r="W49" i="17"/>
  <c r="W40" i="17"/>
  <c r="W33" i="17"/>
  <c r="W353" i="17"/>
  <c r="W58" i="17"/>
  <c r="W404" i="17"/>
  <c r="W170" i="17"/>
  <c r="W142" i="17"/>
  <c r="W140" i="17"/>
  <c r="W125" i="17"/>
  <c r="W123" i="17"/>
  <c r="W110" i="17"/>
  <c r="W108" i="17"/>
  <c r="W93" i="17"/>
  <c r="W91" i="17"/>
  <c r="W78" i="17"/>
  <c r="W76" i="17"/>
  <c r="W61" i="17"/>
  <c r="W59" i="17"/>
  <c r="W47" i="17"/>
  <c r="W38" i="17"/>
  <c r="W31" i="17"/>
  <c r="W28" i="17"/>
  <c r="W24" i="17"/>
  <c r="W20" i="17"/>
  <c r="W16" i="17"/>
  <c r="W12" i="17"/>
  <c r="W8" i="17"/>
  <c r="W118" i="17"/>
  <c r="W43" i="17"/>
  <c r="W29" i="17"/>
  <c r="W25" i="17"/>
  <c r="W21" i="17"/>
  <c r="W9" i="17"/>
  <c r="W73" i="17"/>
  <c r="W48" i="17"/>
  <c r="W387" i="17"/>
  <c r="W179" i="17"/>
  <c r="W146" i="17"/>
  <c r="W144" i="17"/>
  <c r="W129" i="17"/>
  <c r="W127" i="17"/>
  <c r="W114" i="17"/>
  <c r="W112" i="17"/>
  <c r="W97" i="17"/>
  <c r="W95" i="17"/>
  <c r="W82" i="17"/>
  <c r="W80" i="17"/>
  <c r="W65" i="17"/>
  <c r="W63" i="17"/>
  <c r="W45" i="17"/>
  <c r="W36" i="17"/>
  <c r="W84" i="17"/>
  <c r="W67" i="17"/>
  <c r="W54" i="17"/>
  <c r="W50" i="17"/>
  <c r="W4" i="17"/>
  <c r="W122" i="17"/>
  <c r="W88" i="17"/>
  <c r="W370" i="17"/>
  <c r="W312" i="17"/>
  <c r="W208" i="17"/>
  <c r="W159" i="17"/>
  <c r="W150" i="17"/>
  <c r="W148" i="17"/>
  <c r="W133" i="17"/>
  <c r="W131" i="17"/>
  <c r="W116" i="17"/>
  <c r="W101" i="17"/>
  <c r="W99" i="17"/>
  <c r="W86" i="17"/>
  <c r="W69" i="17"/>
  <c r="W52" i="17"/>
  <c r="W34" i="17"/>
  <c r="W17" i="17"/>
  <c r="W13" i="17"/>
  <c r="W155" i="17"/>
  <c r="W103" i="17"/>
  <c r="W90" i="17"/>
  <c r="W71" i="17"/>
  <c r="W56" i="17"/>
  <c r="W41" i="17"/>
  <c r="W272" i="17"/>
  <c r="W238" i="17"/>
  <c r="W141" i="17"/>
  <c r="W139" i="17"/>
  <c r="W126" i="17"/>
  <c r="W124" i="17"/>
  <c r="W109" i="17"/>
  <c r="W107" i="17"/>
  <c r="W94" i="17"/>
  <c r="W92" i="17"/>
  <c r="W77" i="17"/>
  <c r="W75" i="17"/>
  <c r="W62" i="17"/>
  <c r="W60" i="17"/>
  <c r="W46" i="17"/>
  <c r="W39" i="17"/>
  <c r="W30" i="17"/>
  <c r="W26" i="17"/>
  <c r="W22" i="17"/>
  <c r="W18" i="17"/>
  <c r="W14" i="17"/>
  <c r="W10" i="17"/>
  <c r="W6" i="17"/>
  <c r="W113" i="17"/>
  <c r="W64" i="17"/>
  <c r="W37" i="17"/>
  <c r="W240" i="17"/>
  <c r="W152" i="17"/>
  <c r="W137" i="17"/>
  <c r="C35" i="17"/>
  <c r="C125" i="17"/>
  <c r="C124" i="17"/>
  <c r="C126" i="17"/>
  <c r="H38" i="17"/>
  <c r="H125" i="17"/>
  <c r="H124" i="17"/>
  <c r="H126" i="17"/>
  <c r="A7" i="5"/>
  <c r="AH14" i="17" s="1"/>
  <c r="F124" i="17"/>
  <c r="F126" i="17"/>
  <c r="F125" i="17"/>
  <c r="G37" i="17"/>
  <c r="G125" i="17"/>
  <c r="G124" i="17"/>
  <c r="E124" i="17"/>
  <c r="E126" i="17"/>
  <c r="E125" i="17"/>
  <c r="A8" i="5"/>
  <c r="AK16" i="17" s="1"/>
  <c r="D126" i="17"/>
  <c r="D124" i="17"/>
  <c r="D125" i="17"/>
  <c r="V279" i="17"/>
  <c r="V278" i="17"/>
  <c r="A418" i="15"/>
  <c r="V995" i="17"/>
  <c r="V667" i="17"/>
  <c r="V693" i="17"/>
  <c r="V577" i="17"/>
  <c r="A417" i="15"/>
  <c r="V276" i="17"/>
  <c r="A420" i="15"/>
  <c r="V354" i="17"/>
  <c r="V338" i="17"/>
  <c r="V249" i="17"/>
  <c r="V277" i="17"/>
  <c r="V40" i="17"/>
  <c r="A186" i="15"/>
  <c r="V66" i="17"/>
  <c r="V923" i="17"/>
  <c r="V505" i="17"/>
  <c r="V296" i="17"/>
  <c r="V87" i="17"/>
  <c r="AE4" i="17"/>
  <c r="AE16" i="17"/>
  <c r="AE15" i="17"/>
  <c r="AE14" i="17"/>
  <c r="AF4" i="17"/>
  <c r="AF15" i="17"/>
  <c r="AF14" i="17"/>
  <c r="AF16" i="17"/>
  <c r="E35" i="17"/>
  <c r="A6" i="5"/>
  <c r="V15" i="17"/>
  <c r="A997" i="15"/>
  <c r="V30" i="17"/>
  <c r="B5" i="17"/>
  <c r="B60" i="17"/>
  <c r="B116" i="17"/>
  <c r="B52" i="17"/>
  <c r="B108" i="17"/>
  <c r="B44" i="17"/>
  <c r="B100" i="17"/>
  <c r="B36" i="17"/>
  <c r="B92" i="17"/>
  <c r="B29" i="17"/>
  <c r="B84" i="17"/>
  <c r="B21" i="17"/>
  <c r="B76" i="17"/>
  <c r="B13" i="17"/>
  <c r="B68" i="17"/>
  <c r="B28" i="17"/>
  <c r="B20" i="17"/>
  <c r="B12" i="17"/>
  <c r="B123" i="17"/>
  <c r="B115" i="17"/>
  <c r="B107" i="17"/>
  <c r="B99" i="17"/>
  <c r="B91" i="17"/>
  <c r="B83" i="17"/>
  <c r="B75" i="17"/>
  <c r="B67" i="17"/>
  <c r="B59" i="17"/>
  <c r="B51" i="17"/>
  <c r="B43" i="17"/>
  <c r="B35" i="17"/>
  <c r="B27" i="17"/>
  <c r="B19" i="17"/>
  <c r="B11" i="17"/>
  <c r="B122" i="17"/>
  <c r="B114" i="17"/>
  <c r="B106" i="17"/>
  <c r="B98" i="17"/>
  <c r="B90" i="17"/>
  <c r="B82" i="17"/>
  <c r="B74" i="17"/>
  <c r="B66" i="17"/>
  <c r="B58" i="17"/>
  <c r="B50" i="17"/>
  <c r="B42" i="17"/>
  <c r="B34" i="17"/>
  <c r="B26" i="17"/>
  <c r="B18" i="17"/>
  <c r="B10" i="17"/>
  <c r="B121" i="17"/>
  <c r="B113" i="17"/>
  <c r="B105" i="17"/>
  <c r="B97" i="17"/>
  <c r="B89" i="17"/>
  <c r="B81" i="17"/>
  <c r="B73" i="17"/>
  <c r="B65" i="17"/>
  <c r="B57" i="17"/>
  <c r="B49" i="17"/>
  <c r="B41" i="17"/>
  <c r="B33" i="17"/>
  <c r="B25" i="17"/>
  <c r="B17" i="17"/>
  <c r="B9" i="17"/>
  <c r="B120" i="17"/>
  <c r="B112" i="17"/>
  <c r="B104" i="17"/>
  <c r="B96" i="17"/>
  <c r="B88" i="17"/>
  <c r="B80" i="17"/>
  <c r="B72" i="17"/>
  <c r="B64" i="17"/>
  <c r="B56" i="17"/>
  <c r="B48" i="17"/>
  <c r="B40" i="17"/>
  <c r="B32" i="17"/>
  <c r="B4" i="17"/>
  <c r="B24" i="17"/>
  <c r="B16" i="17"/>
  <c r="B8" i="17"/>
  <c r="B119" i="17"/>
  <c r="B111" i="17"/>
  <c r="B103" i="17"/>
  <c r="B95" i="17"/>
  <c r="B87" i="17"/>
  <c r="B79" i="17"/>
  <c r="B71" i="17"/>
  <c r="B63" i="17"/>
  <c r="B55" i="17"/>
  <c r="B47" i="17"/>
  <c r="B39" i="17"/>
  <c r="B31" i="17"/>
  <c r="B23" i="17"/>
  <c r="B15" i="17"/>
  <c r="B7" i="17"/>
  <c r="B118" i="17"/>
  <c r="B110" i="17"/>
  <c r="B102" i="17"/>
  <c r="B94" i="17"/>
  <c r="B86" i="17"/>
  <c r="B78" i="17"/>
  <c r="B70" i="17"/>
  <c r="B62" i="17"/>
  <c r="B54" i="17"/>
  <c r="B46" i="17"/>
  <c r="B38" i="17"/>
  <c r="B30" i="17"/>
  <c r="B22" i="17"/>
  <c r="B14" i="17"/>
  <c r="B6" i="17"/>
  <c r="B117" i="17"/>
  <c r="B109" i="17"/>
  <c r="B101" i="17"/>
  <c r="B93" i="17"/>
  <c r="B85" i="17"/>
  <c r="B77" i="17"/>
  <c r="B69" i="17"/>
  <c r="B61" i="17"/>
  <c r="B53" i="17"/>
  <c r="B45" i="17"/>
  <c r="C28" i="17"/>
  <c r="C24" i="17"/>
  <c r="C16" i="17"/>
  <c r="C8" i="17"/>
  <c r="C123" i="17"/>
  <c r="C115" i="17"/>
  <c r="C111" i="17"/>
  <c r="C103" i="17"/>
  <c r="C99" i="17"/>
  <c r="C91" i="17"/>
  <c r="C87" i="17"/>
  <c r="C79" i="17"/>
  <c r="C75" i="17"/>
  <c r="C67" i="17"/>
  <c r="C59" i="17"/>
  <c r="C51" i="17"/>
  <c r="C39" i="17"/>
  <c r="C31" i="17"/>
  <c r="C23" i="17"/>
  <c r="C15" i="17"/>
  <c r="C7" i="17"/>
  <c r="C118" i="17"/>
  <c r="C106" i="17"/>
  <c r="C94" i="17"/>
  <c r="C82" i="17"/>
  <c r="C66" i="17"/>
  <c r="C38" i="17"/>
  <c r="C27" i="17"/>
  <c r="C19" i="17"/>
  <c r="C11" i="17"/>
  <c r="C122" i="17"/>
  <c r="C114" i="17"/>
  <c r="C110" i="17"/>
  <c r="C102" i="17"/>
  <c r="C98" i="17"/>
  <c r="C90" i="17"/>
  <c r="C86" i="17"/>
  <c r="C78" i="17"/>
  <c r="C74" i="17"/>
  <c r="C70" i="17"/>
  <c r="C62" i="17"/>
  <c r="C58" i="17"/>
  <c r="C54" i="17"/>
  <c r="C50" i="17"/>
  <c r="C46" i="17"/>
  <c r="C42" i="17"/>
  <c r="C34" i="17"/>
  <c r="C30" i="17"/>
  <c r="C26" i="17"/>
  <c r="C22" i="17"/>
  <c r="C18" i="17"/>
  <c r="C14" i="17"/>
  <c r="C10" i="17"/>
  <c r="C6" i="17"/>
  <c r="C121" i="17"/>
  <c r="C117" i="17"/>
  <c r="C113" i="17"/>
  <c r="C109" i="17"/>
  <c r="C105" i="17"/>
  <c r="C101" i="17"/>
  <c r="C97" i="17"/>
  <c r="C93" i="17"/>
  <c r="C89" i="17"/>
  <c r="C85" i="17"/>
  <c r="C81" i="17"/>
  <c r="C77" i="17"/>
  <c r="C73" i="17"/>
  <c r="C69" i="17"/>
  <c r="C65" i="17"/>
  <c r="C61" i="17"/>
  <c r="C57" i="17"/>
  <c r="C53" i="17"/>
  <c r="C49" i="17"/>
  <c r="C45" i="17"/>
  <c r="C41" i="17"/>
  <c r="C37" i="17"/>
  <c r="C33" i="17"/>
  <c r="C29" i="17"/>
  <c r="C25" i="17"/>
  <c r="C21" i="17"/>
  <c r="C17" i="17"/>
  <c r="C13" i="17"/>
  <c r="C9" i="17"/>
  <c r="W5" i="17"/>
  <c r="C120" i="17"/>
  <c r="C116" i="17"/>
  <c r="C112" i="17"/>
  <c r="C108" i="17"/>
  <c r="C104" i="17"/>
  <c r="C100" i="17"/>
  <c r="C96" i="17"/>
  <c r="C92" i="17"/>
  <c r="C88" i="17"/>
  <c r="C84" i="17"/>
  <c r="C80" i="17"/>
  <c r="C76" i="17"/>
  <c r="C72" i="17"/>
  <c r="C68" i="17"/>
  <c r="C64" i="17"/>
  <c r="C60" i="17"/>
  <c r="C56" i="17"/>
  <c r="C52" i="17"/>
  <c r="C48" i="17"/>
  <c r="C44" i="17"/>
  <c r="C40" i="17"/>
  <c r="C36" i="17"/>
  <c r="C32" i="17"/>
  <c r="C4" i="17"/>
  <c r="C20" i="17"/>
  <c r="C12" i="17"/>
  <c r="C119" i="17"/>
  <c r="C107" i="17"/>
  <c r="C95" i="17"/>
  <c r="C83" i="17"/>
  <c r="C71" i="17"/>
  <c r="C63" i="17"/>
  <c r="C55" i="17"/>
  <c r="C47" i="17"/>
  <c r="C43" i="17"/>
  <c r="E101" i="17"/>
  <c r="H104" i="17"/>
  <c r="A8" i="15"/>
  <c r="G119" i="17"/>
  <c r="H64" i="17"/>
  <c r="F46" i="17"/>
  <c r="F31" i="17"/>
  <c r="F110" i="17"/>
  <c r="F86" i="17"/>
  <c r="F94" i="17"/>
  <c r="E22" i="17"/>
  <c r="H48" i="17"/>
  <c r="G55" i="17"/>
  <c r="G103" i="17"/>
  <c r="H40" i="17"/>
  <c r="H9" i="17"/>
  <c r="E77" i="17"/>
  <c r="G95" i="17"/>
  <c r="H112" i="17"/>
  <c r="G39" i="17"/>
  <c r="D92" i="17"/>
  <c r="E37" i="17"/>
  <c r="G24" i="17"/>
  <c r="F15" i="17"/>
  <c r="E6" i="17"/>
  <c r="D116" i="17"/>
  <c r="H88" i="17"/>
  <c r="G79" i="17"/>
  <c r="F70" i="17"/>
  <c r="E61" i="17"/>
  <c r="D52" i="17"/>
  <c r="D13" i="17"/>
  <c r="D68" i="17"/>
  <c r="E85" i="17"/>
  <c r="H17" i="17"/>
  <c r="G8" i="17"/>
  <c r="F118" i="17"/>
  <c r="E109" i="17"/>
  <c r="D100" i="17"/>
  <c r="H72" i="17"/>
  <c r="G63" i="17"/>
  <c r="F54" i="17"/>
  <c r="E45" i="17"/>
  <c r="D36" i="17"/>
  <c r="D76" i="17"/>
  <c r="E4" i="17"/>
  <c r="F23" i="17"/>
  <c r="E14" i="17"/>
  <c r="X5" i="17"/>
  <c r="H96" i="17"/>
  <c r="G87" i="17"/>
  <c r="F78" i="17"/>
  <c r="E69" i="17"/>
  <c r="D60" i="17"/>
  <c r="H32" i="17"/>
  <c r="D21" i="17"/>
  <c r="D29" i="17"/>
  <c r="H120" i="17"/>
  <c r="G111" i="17"/>
  <c r="F102" i="17"/>
  <c r="E93" i="17"/>
  <c r="D84" i="17"/>
  <c r="H56" i="17"/>
  <c r="G47" i="17"/>
  <c r="F38" i="17"/>
  <c r="E30" i="17"/>
  <c r="H25" i="17"/>
  <c r="G16" i="17"/>
  <c r="F7" i="17"/>
  <c r="E117" i="17"/>
  <c r="D108" i="17"/>
  <c r="H80" i="17"/>
  <c r="G71" i="17"/>
  <c r="F62" i="17"/>
  <c r="E53" i="17"/>
  <c r="D44" i="17"/>
  <c r="D4" i="17"/>
  <c r="G31" i="17"/>
  <c r="F30" i="17"/>
  <c r="E29" i="17"/>
  <c r="D28" i="17"/>
  <c r="H24" i="17"/>
  <c r="G23" i="17"/>
  <c r="F22" i="17"/>
  <c r="E21" i="17"/>
  <c r="D20" i="17"/>
  <c r="H16" i="17"/>
  <c r="G15" i="17"/>
  <c r="F14" i="17"/>
  <c r="E13" i="17"/>
  <c r="D12" i="17"/>
  <c r="H8" i="17"/>
  <c r="G7" i="17"/>
  <c r="F6" i="17"/>
  <c r="Y5" i="17"/>
  <c r="D123" i="17"/>
  <c r="H119" i="17"/>
  <c r="G118" i="17"/>
  <c r="F117" i="17"/>
  <c r="E116" i="17"/>
  <c r="D115" i="17"/>
  <c r="H111" i="17"/>
  <c r="G110" i="17"/>
  <c r="F109" i="17"/>
  <c r="E108" i="17"/>
  <c r="D107" i="17"/>
  <c r="H103" i="17"/>
  <c r="G102" i="17"/>
  <c r="F101" i="17"/>
  <c r="E100" i="17"/>
  <c r="D99" i="17"/>
  <c r="H95" i="17"/>
  <c r="G94" i="17"/>
  <c r="F93" i="17"/>
  <c r="E92" i="17"/>
  <c r="D91" i="17"/>
  <c r="H87" i="17"/>
  <c r="G86" i="17"/>
  <c r="F85" i="17"/>
  <c r="E84" i="17"/>
  <c r="D83" i="17"/>
  <c r="H79" i="17"/>
  <c r="G78" i="17"/>
  <c r="F77" i="17"/>
  <c r="E76" i="17"/>
  <c r="D75" i="17"/>
  <c r="H71" i="17"/>
  <c r="G70" i="17"/>
  <c r="F69" i="17"/>
  <c r="E68" i="17"/>
  <c r="D67" i="17"/>
  <c r="H63" i="17"/>
  <c r="G62" i="17"/>
  <c r="F61" i="17"/>
  <c r="E60" i="17"/>
  <c r="D59" i="17"/>
  <c r="H55" i="17"/>
  <c r="G54" i="17"/>
  <c r="F53" i="17"/>
  <c r="E52" i="17"/>
  <c r="D51" i="17"/>
  <c r="H47" i="17"/>
  <c r="G46" i="17"/>
  <c r="F45" i="17"/>
  <c r="E44" i="17"/>
  <c r="D43" i="17"/>
  <c r="H39" i="17"/>
  <c r="G38" i="17"/>
  <c r="F37" i="17"/>
  <c r="E36" i="17"/>
  <c r="D35" i="17"/>
  <c r="F4" i="17"/>
  <c r="E31" i="17"/>
  <c r="D30" i="17"/>
  <c r="H26" i="17"/>
  <c r="G25" i="17"/>
  <c r="F24" i="17"/>
  <c r="E23" i="17"/>
  <c r="D22" i="17"/>
  <c r="H18" i="17"/>
  <c r="G17" i="17"/>
  <c r="F16" i="17"/>
  <c r="E15" i="17"/>
  <c r="D14" i="17"/>
  <c r="H10" i="17"/>
  <c r="G9" i="17"/>
  <c r="F8" i="17"/>
  <c r="E7" i="17"/>
  <c r="D6" i="17"/>
  <c r="H121" i="17"/>
  <c r="G120" i="17"/>
  <c r="F119" i="17"/>
  <c r="E118" i="17"/>
  <c r="D117" i="17"/>
  <c r="H113" i="17"/>
  <c r="G112" i="17"/>
  <c r="F111" i="17"/>
  <c r="E110" i="17"/>
  <c r="D109" i="17"/>
  <c r="H105" i="17"/>
  <c r="G104" i="17"/>
  <c r="F103" i="17"/>
  <c r="E102" i="17"/>
  <c r="D101" i="17"/>
  <c r="H97" i="17"/>
  <c r="G96" i="17"/>
  <c r="F95" i="17"/>
  <c r="E94" i="17"/>
  <c r="D93" i="17"/>
  <c r="H89" i="17"/>
  <c r="G88" i="17"/>
  <c r="F87" i="17"/>
  <c r="E86" i="17"/>
  <c r="D85" i="17"/>
  <c r="H81" i="17"/>
  <c r="G80" i="17"/>
  <c r="F79" i="17"/>
  <c r="E78" i="17"/>
  <c r="D77" i="17"/>
  <c r="H73" i="17"/>
  <c r="G72" i="17"/>
  <c r="F71" i="17"/>
  <c r="E70" i="17"/>
  <c r="D69" i="17"/>
  <c r="H65" i="17"/>
  <c r="G64" i="17"/>
  <c r="F63" i="17"/>
  <c r="E62" i="17"/>
  <c r="D61" i="17"/>
  <c r="H57" i="17"/>
  <c r="G56" i="17"/>
  <c r="F55" i="17"/>
  <c r="E54" i="17"/>
  <c r="D53" i="17"/>
  <c r="H49" i="17"/>
  <c r="G48" i="17"/>
  <c r="F47" i="17"/>
  <c r="E46" i="17"/>
  <c r="D45" i="17"/>
  <c r="H41" i="17"/>
  <c r="G40" i="17"/>
  <c r="F39" i="17"/>
  <c r="E38" i="17"/>
  <c r="D37" i="17"/>
  <c r="H33" i="17"/>
  <c r="G32" i="17"/>
  <c r="G4" i="17"/>
  <c r="D31" i="17"/>
  <c r="H27" i="17"/>
  <c r="G26" i="17"/>
  <c r="F25" i="17"/>
  <c r="E24" i="17"/>
  <c r="D23" i="17"/>
  <c r="H19" i="17"/>
  <c r="G18" i="17"/>
  <c r="F17" i="17"/>
  <c r="E16" i="17"/>
  <c r="D15" i="17"/>
  <c r="H11" i="17"/>
  <c r="G10" i="17"/>
  <c r="F9" i="17"/>
  <c r="E8" i="17"/>
  <c r="D7" i="17"/>
  <c r="H122" i="17"/>
  <c r="G121" i="17"/>
  <c r="F120" i="17"/>
  <c r="E119" i="17"/>
  <c r="D118" i="17"/>
  <c r="H114" i="17"/>
  <c r="G113" i="17"/>
  <c r="F112" i="17"/>
  <c r="E111" i="17"/>
  <c r="D110" i="17"/>
  <c r="H106" i="17"/>
  <c r="G105" i="17"/>
  <c r="F104" i="17"/>
  <c r="E103" i="17"/>
  <c r="D102" i="17"/>
  <c r="H98" i="17"/>
  <c r="G97" i="17"/>
  <c r="F96" i="17"/>
  <c r="E95" i="17"/>
  <c r="D94" i="17"/>
  <c r="H90" i="17"/>
  <c r="G89" i="17"/>
  <c r="F88" i="17"/>
  <c r="E87" i="17"/>
  <c r="D86" i="17"/>
  <c r="H82" i="17"/>
  <c r="G81" i="17"/>
  <c r="F80" i="17"/>
  <c r="E79" i="17"/>
  <c r="D78" i="17"/>
  <c r="H74" i="17"/>
  <c r="G73" i="17"/>
  <c r="F72" i="17"/>
  <c r="E71" i="17"/>
  <c r="D70" i="17"/>
  <c r="H66" i="17"/>
  <c r="G65" i="17"/>
  <c r="F64" i="17"/>
  <c r="E63" i="17"/>
  <c r="D62" i="17"/>
  <c r="H58" i="17"/>
  <c r="G57" i="17"/>
  <c r="F56" i="17"/>
  <c r="E55" i="17"/>
  <c r="D54" i="17"/>
  <c r="H50" i="17"/>
  <c r="G49" i="17"/>
  <c r="F48" i="17"/>
  <c r="E47" i="17"/>
  <c r="D46" i="17"/>
  <c r="H42" i="17"/>
  <c r="G41" i="17"/>
  <c r="F40" i="17"/>
  <c r="E39" i="17"/>
  <c r="D38" i="17"/>
  <c r="H34" i="17"/>
  <c r="G33" i="17"/>
  <c r="F32" i="17"/>
  <c r="H4" i="17"/>
  <c r="H28" i="17"/>
  <c r="G27" i="17"/>
  <c r="F26" i="17"/>
  <c r="E25" i="17"/>
  <c r="D24" i="17"/>
  <c r="H20" i="17"/>
  <c r="G19" i="17"/>
  <c r="F18" i="17"/>
  <c r="E17" i="17"/>
  <c r="D16" i="17"/>
  <c r="H12" i="17"/>
  <c r="G11" i="17"/>
  <c r="F10" i="17"/>
  <c r="E9" i="17"/>
  <c r="D8" i="17"/>
  <c r="H123" i="17"/>
  <c r="G122" i="17"/>
  <c r="F121" i="17"/>
  <c r="E120" i="17"/>
  <c r="D119" i="17"/>
  <c r="H115" i="17"/>
  <c r="G114" i="17"/>
  <c r="F113" i="17"/>
  <c r="E112" i="17"/>
  <c r="D111" i="17"/>
  <c r="H107" i="17"/>
  <c r="G106" i="17"/>
  <c r="F105" i="17"/>
  <c r="E104" i="17"/>
  <c r="D103" i="17"/>
  <c r="H99" i="17"/>
  <c r="G98" i="17"/>
  <c r="F97" i="17"/>
  <c r="E96" i="17"/>
  <c r="D95" i="17"/>
  <c r="H91" i="17"/>
  <c r="G90" i="17"/>
  <c r="F89" i="17"/>
  <c r="E88" i="17"/>
  <c r="D87" i="17"/>
  <c r="H83" i="17"/>
  <c r="G82" i="17"/>
  <c r="F81" i="17"/>
  <c r="E80" i="17"/>
  <c r="D79" i="17"/>
  <c r="H75" i="17"/>
  <c r="G74" i="17"/>
  <c r="F73" i="17"/>
  <c r="E72" i="17"/>
  <c r="D71" i="17"/>
  <c r="H67" i="17"/>
  <c r="G66" i="17"/>
  <c r="F65" i="17"/>
  <c r="E64" i="17"/>
  <c r="D63" i="17"/>
  <c r="H59" i="17"/>
  <c r="G58" i="17"/>
  <c r="F57" i="17"/>
  <c r="E56" i="17"/>
  <c r="D55" i="17"/>
  <c r="H51" i="17"/>
  <c r="G50" i="17"/>
  <c r="F49" i="17"/>
  <c r="E48" i="17"/>
  <c r="D47" i="17"/>
  <c r="H43" i="17"/>
  <c r="G42" i="17"/>
  <c r="F41" i="17"/>
  <c r="E40" i="17"/>
  <c r="D39" i="17"/>
  <c r="H35" i="17"/>
  <c r="G34" i="17"/>
  <c r="F33" i="17"/>
  <c r="E32" i="17"/>
  <c r="H29" i="17"/>
  <c r="G28" i="17"/>
  <c r="F27" i="17"/>
  <c r="E26" i="17"/>
  <c r="D25" i="17"/>
  <c r="H21" i="17"/>
  <c r="G20" i="17"/>
  <c r="F19" i="17"/>
  <c r="E18" i="17"/>
  <c r="D17" i="17"/>
  <c r="H13" i="17"/>
  <c r="G12" i="17"/>
  <c r="F11" i="17"/>
  <c r="E10" i="17"/>
  <c r="D9" i="17"/>
  <c r="AJ14" i="17"/>
  <c r="G123" i="17"/>
  <c r="F122" i="17"/>
  <c r="E121" i="17"/>
  <c r="D120" i="17"/>
  <c r="H116" i="17"/>
  <c r="G115" i="17"/>
  <c r="F114" i="17"/>
  <c r="E113" i="17"/>
  <c r="D112" i="17"/>
  <c r="H108" i="17"/>
  <c r="G107" i="17"/>
  <c r="F106" i="17"/>
  <c r="E105" i="17"/>
  <c r="D104" i="17"/>
  <c r="H100" i="17"/>
  <c r="G99" i="17"/>
  <c r="F98" i="17"/>
  <c r="E97" i="17"/>
  <c r="D96" i="17"/>
  <c r="H92" i="17"/>
  <c r="G91" i="17"/>
  <c r="F90" i="17"/>
  <c r="E89" i="17"/>
  <c r="D88" i="17"/>
  <c r="H84" i="17"/>
  <c r="G83" i="17"/>
  <c r="F82" i="17"/>
  <c r="E81" i="17"/>
  <c r="D80" i="17"/>
  <c r="H76" i="17"/>
  <c r="G75" i="17"/>
  <c r="F74" i="17"/>
  <c r="E73" i="17"/>
  <c r="D72" i="17"/>
  <c r="H68" i="17"/>
  <c r="G67" i="17"/>
  <c r="F66" i="17"/>
  <c r="E65" i="17"/>
  <c r="D64" i="17"/>
  <c r="H60" i="17"/>
  <c r="G59" i="17"/>
  <c r="F58" i="17"/>
  <c r="E57" i="17"/>
  <c r="D56" i="17"/>
  <c r="H52" i="17"/>
  <c r="G51" i="17"/>
  <c r="F50" i="17"/>
  <c r="E49" i="17"/>
  <c r="D48" i="17"/>
  <c r="H44" i="17"/>
  <c r="G43" i="17"/>
  <c r="F42" i="17"/>
  <c r="E41" i="17"/>
  <c r="D40" i="17"/>
  <c r="H36" i="17"/>
  <c r="G35" i="17"/>
  <c r="F34" i="17"/>
  <c r="E33" i="17"/>
  <c r="D32" i="17"/>
  <c r="H30" i="17"/>
  <c r="G29" i="17"/>
  <c r="F28" i="17"/>
  <c r="E27" i="17"/>
  <c r="D26" i="17"/>
  <c r="H22" i="17"/>
  <c r="G21" i="17"/>
  <c r="F20" i="17"/>
  <c r="E19" i="17"/>
  <c r="D18" i="17"/>
  <c r="H14" i="17"/>
  <c r="G13" i="17"/>
  <c r="F12" i="17"/>
  <c r="E11" i="17"/>
  <c r="D10" i="17"/>
  <c r="H6" i="17"/>
  <c r="AI14" i="17"/>
  <c r="F123" i="17"/>
  <c r="E122" i="17"/>
  <c r="D121" i="17"/>
  <c r="H117" i="17"/>
  <c r="G116" i="17"/>
  <c r="F115" i="17"/>
  <c r="E114" i="17"/>
  <c r="D113" i="17"/>
  <c r="H109" i="17"/>
  <c r="G108" i="17"/>
  <c r="F107" i="17"/>
  <c r="E106" i="17"/>
  <c r="D105" i="17"/>
  <c r="H101" i="17"/>
  <c r="G100" i="17"/>
  <c r="F99" i="17"/>
  <c r="E98" i="17"/>
  <c r="D97" i="17"/>
  <c r="H93" i="17"/>
  <c r="G92" i="17"/>
  <c r="F91" i="17"/>
  <c r="E90" i="17"/>
  <c r="D89" i="17"/>
  <c r="H85" i="17"/>
  <c r="G84" i="17"/>
  <c r="F83" i="17"/>
  <c r="E82" i="17"/>
  <c r="D81" i="17"/>
  <c r="H77" i="17"/>
  <c r="G76" i="17"/>
  <c r="F75" i="17"/>
  <c r="E74" i="17"/>
  <c r="D73" i="17"/>
  <c r="H69" i="17"/>
  <c r="G68" i="17"/>
  <c r="F67" i="17"/>
  <c r="E66" i="17"/>
  <c r="D65" i="17"/>
  <c r="H61" i="17"/>
  <c r="G60" i="17"/>
  <c r="F59" i="17"/>
  <c r="E58" i="17"/>
  <c r="D57" i="17"/>
  <c r="H53" i="17"/>
  <c r="G52" i="17"/>
  <c r="F51" i="17"/>
  <c r="E50" i="17"/>
  <c r="D49" i="17"/>
  <c r="H45" i="17"/>
  <c r="G44" i="17"/>
  <c r="F43" i="17"/>
  <c r="E42" i="17"/>
  <c r="D41" i="17"/>
  <c r="H37" i="17"/>
  <c r="G36" i="17"/>
  <c r="F35" i="17"/>
  <c r="E34" i="17"/>
  <c r="D33" i="17"/>
  <c r="H31" i="17"/>
  <c r="G30" i="17"/>
  <c r="F29" i="17"/>
  <c r="E28" i="17"/>
  <c r="D27" i="17"/>
  <c r="H23" i="17"/>
  <c r="G22" i="17"/>
  <c r="F21" i="17"/>
  <c r="E20" i="17"/>
  <c r="D19" i="17"/>
  <c r="H15" i="17"/>
  <c r="G14" i="17"/>
  <c r="F13" i="17"/>
  <c r="E12" i="17"/>
  <c r="D11" i="17"/>
  <c r="H7" i="17"/>
  <c r="G6" i="17"/>
  <c r="Z5" i="17"/>
  <c r="E123" i="17"/>
  <c r="D122" i="17"/>
  <c r="H118" i="17"/>
  <c r="G117" i="17"/>
  <c r="F116" i="17"/>
  <c r="E115" i="17"/>
  <c r="D114" i="17"/>
  <c r="H110" i="17"/>
  <c r="G109" i="17"/>
  <c r="F108" i="17"/>
  <c r="E107" i="17"/>
  <c r="D106" i="17"/>
  <c r="H102" i="17"/>
  <c r="G101" i="17"/>
  <c r="F100" i="17"/>
  <c r="E99" i="17"/>
  <c r="D98" i="17"/>
  <c r="H94" i="17"/>
  <c r="G93" i="17"/>
  <c r="F92" i="17"/>
  <c r="E91" i="17"/>
  <c r="D90" i="17"/>
  <c r="H86" i="17"/>
  <c r="G85" i="17"/>
  <c r="F84" i="17"/>
  <c r="E83" i="17"/>
  <c r="D82" i="17"/>
  <c r="H78" i="17"/>
  <c r="G77" i="17"/>
  <c r="F76" i="17"/>
  <c r="E75" i="17"/>
  <c r="D74" i="17"/>
  <c r="H70" i="17"/>
  <c r="G69" i="17"/>
  <c r="F68" i="17"/>
  <c r="E67" i="17"/>
  <c r="D66" i="17"/>
  <c r="H62" i="17"/>
  <c r="G61" i="17"/>
  <c r="F60" i="17"/>
  <c r="E59" i="17"/>
  <c r="D58" i="17"/>
  <c r="H54" i="17"/>
  <c r="G53" i="17"/>
  <c r="F52" i="17"/>
  <c r="E51" i="17"/>
  <c r="D50" i="17"/>
  <c r="H46" i="17"/>
  <c r="G45" i="17"/>
  <c r="F44" i="17"/>
  <c r="E43" i="17"/>
  <c r="D42" i="17"/>
  <c r="F36" i="17"/>
  <c r="D34" i="17"/>
  <c r="A7" i="15"/>
  <c r="A6" i="15"/>
  <c r="AH16" i="17" l="1"/>
  <c r="AH15" i="17"/>
  <c r="AK15" i="17"/>
  <c r="AH4" i="17"/>
  <c r="AK14" i="17"/>
  <c r="AK4" i="17"/>
  <c r="A233" i="15"/>
  <c r="V714" i="17"/>
  <c r="V1013" i="17"/>
  <c r="A1148" i="15"/>
  <c r="V996" i="17"/>
  <c r="V982" i="17"/>
  <c r="V694" i="17"/>
  <c r="A827" i="15"/>
  <c r="A848" i="15"/>
  <c r="V668" i="17"/>
  <c r="A802" i="15"/>
  <c r="V595" i="17"/>
  <c r="A738" i="15"/>
  <c r="V578" i="17"/>
  <c r="V564" i="17"/>
  <c r="V339" i="17"/>
  <c r="A486" i="15"/>
  <c r="V368" i="17"/>
  <c r="A515" i="15"/>
  <c r="A503" i="15"/>
  <c r="V250" i="17"/>
  <c r="A392" i="15"/>
  <c r="A212" i="15"/>
  <c r="V67" i="17"/>
  <c r="V41" i="17"/>
  <c r="A187" i="15"/>
  <c r="V924" i="17"/>
  <c r="A1054" i="15"/>
  <c r="V715" i="17"/>
  <c r="A849" i="15"/>
  <c r="V506" i="17"/>
  <c r="A644" i="15"/>
  <c r="V297" i="17"/>
  <c r="A439" i="15"/>
  <c r="V88" i="17"/>
  <c r="A234" i="15"/>
  <c r="AG4" i="17"/>
  <c r="AG14" i="17"/>
  <c r="AG16" i="17"/>
  <c r="AG15" i="17"/>
  <c r="V16" i="17"/>
  <c r="A167" i="15"/>
  <c r="V642" i="17"/>
  <c r="A781" i="15"/>
  <c r="V433" i="17"/>
  <c r="A576" i="15"/>
  <c r="V224" i="17"/>
  <c r="A371" i="15"/>
  <c r="V851" i="17"/>
  <c r="A986" i="15"/>
  <c r="V551" i="17"/>
  <c r="A694" i="15"/>
  <c r="V969" i="17"/>
  <c r="A1104" i="15"/>
  <c r="V280" i="17"/>
  <c r="A421" i="15"/>
  <c r="V489" i="17"/>
  <c r="A626" i="15"/>
  <c r="V907" i="17"/>
  <c r="A1036" i="15"/>
  <c r="V462" i="17"/>
  <c r="A600" i="15"/>
  <c r="V880" i="17"/>
  <c r="A1010" i="15"/>
  <c r="V239" i="17"/>
  <c r="A383" i="15"/>
  <c r="V657" i="17"/>
  <c r="A793" i="15"/>
  <c r="V866" i="17"/>
  <c r="A998" i="15"/>
  <c r="V448" i="17"/>
  <c r="A588" i="15"/>
  <c r="V31" i="17"/>
  <c r="A179" i="15"/>
  <c r="A1" i="16" a="1"/>
  <c r="BM1" i="16" s="1"/>
  <c r="V128" i="17" l="1"/>
  <c r="A279" i="15"/>
  <c r="V983" i="17"/>
  <c r="A1119" i="15"/>
  <c r="A1132" i="15"/>
  <c r="V997" i="17"/>
  <c r="V1034" i="17"/>
  <c r="A1168" i="15"/>
  <c r="V1014" i="17"/>
  <c r="A1149" i="15"/>
  <c r="V695" i="17"/>
  <c r="A828" i="15"/>
  <c r="V669" i="17"/>
  <c r="A803" i="15"/>
  <c r="V755" i="17"/>
  <c r="A894" i="15"/>
  <c r="V565" i="17"/>
  <c r="A709" i="15"/>
  <c r="V596" i="17"/>
  <c r="A739" i="15"/>
  <c r="A722" i="15"/>
  <c r="V579" i="17"/>
  <c r="V616" i="17"/>
  <c r="A758" i="15"/>
  <c r="V340" i="17"/>
  <c r="A487" i="15"/>
  <c r="V355" i="17"/>
  <c r="V386" i="17"/>
  <c r="A533" i="15"/>
  <c r="V251" i="17"/>
  <c r="A393" i="15"/>
  <c r="V369" i="17"/>
  <c r="V42" i="17"/>
  <c r="A188" i="15"/>
  <c r="V68" i="17"/>
  <c r="A213" i="15"/>
  <c r="V925" i="17"/>
  <c r="A1055" i="15"/>
  <c r="V716" i="17"/>
  <c r="A850" i="15"/>
  <c r="V507" i="17"/>
  <c r="A645" i="15"/>
  <c r="V298" i="17"/>
  <c r="A440" i="15"/>
  <c r="V89" i="17"/>
  <c r="A235" i="15"/>
  <c r="V225" i="17"/>
  <c r="A372" i="15"/>
  <c r="V852" i="17"/>
  <c r="A987" i="15"/>
  <c r="V434" i="17"/>
  <c r="A577" i="15"/>
  <c r="V226" i="17"/>
  <c r="V17" i="17"/>
  <c r="V853" i="17"/>
  <c r="V644" i="17"/>
  <c r="V435" i="17"/>
  <c r="V643" i="17"/>
  <c r="A782" i="15"/>
  <c r="V970" i="17"/>
  <c r="A1105" i="15"/>
  <c r="V552" i="17"/>
  <c r="A695" i="15"/>
  <c r="V490" i="17"/>
  <c r="A627" i="15"/>
  <c r="V281" i="17"/>
  <c r="A422" i="15"/>
  <c r="V908" i="17"/>
  <c r="A1037" i="15"/>
  <c r="V463" i="17"/>
  <c r="A601" i="15"/>
  <c r="V881" i="17"/>
  <c r="A1011" i="15"/>
  <c r="V33" i="17"/>
  <c r="A180" i="15"/>
  <c r="V240" i="17"/>
  <c r="A384" i="15"/>
  <c r="V867" i="17"/>
  <c r="A999" i="15"/>
  <c r="V449" i="17"/>
  <c r="A589" i="15"/>
  <c r="V658" i="17"/>
  <c r="A794" i="15"/>
  <c r="CO1" i="16"/>
  <c r="BN1" i="16"/>
  <c r="D1" i="16"/>
  <c r="AM1" i="16"/>
  <c r="I1" i="16"/>
  <c r="EK1" i="16"/>
  <c r="BH1" i="16"/>
  <c r="CT1" i="16"/>
  <c r="EL1" i="16"/>
  <c r="J1" i="16"/>
  <c r="O1" i="16"/>
  <c r="AL1" i="16"/>
  <c r="CI1" i="16"/>
  <c r="BV1" i="16"/>
  <c r="BR1" i="16"/>
  <c r="DS1" i="16"/>
  <c r="Z1" i="16"/>
  <c r="P1" i="16"/>
  <c r="DP1" i="16"/>
  <c r="AU1" i="16"/>
  <c r="BT1" i="16"/>
  <c r="H1" i="16"/>
  <c r="EQ1" i="16"/>
  <c r="BC1" i="16"/>
  <c r="CG1" i="16"/>
  <c r="BO1" i="16"/>
  <c r="AW1" i="16"/>
  <c r="AG1" i="16"/>
  <c r="AT1" i="16"/>
  <c r="AO1" i="16"/>
  <c r="BS1" i="16"/>
  <c r="CN1" i="16"/>
  <c r="DM1" i="16"/>
  <c r="CJ1" i="16"/>
  <c r="B1" i="16"/>
  <c r="X1" i="16"/>
  <c r="AH1" i="16"/>
  <c r="EC1" i="16"/>
  <c r="ES1" i="16"/>
  <c r="K1" i="16"/>
  <c r="AB1" i="16"/>
  <c r="DD1" i="16"/>
  <c r="DN1" i="16"/>
  <c r="CQ1" i="16"/>
  <c r="DU1" i="16"/>
  <c r="E1" i="16"/>
  <c r="BW1" i="16"/>
  <c r="AQ1" i="16"/>
  <c r="CS1" i="16"/>
  <c r="DW1" i="16"/>
  <c r="EO1" i="16"/>
  <c r="ED1" i="16"/>
  <c r="BK1" i="16"/>
  <c r="DB1" i="16"/>
  <c r="BD1" i="16"/>
  <c r="T1" i="16"/>
  <c r="DH1" i="16"/>
  <c r="CX1" i="16"/>
  <c r="EM1" i="16"/>
  <c r="C1" i="16"/>
  <c r="DF1" i="16"/>
  <c r="EI1" i="16"/>
  <c r="CV1" i="16"/>
  <c r="EG1" i="16"/>
  <c r="AE1" i="16"/>
  <c r="AF1" i="16"/>
  <c r="BG1" i="16"/>
  <c r="V1" i="16"/>
  <c r="DI1" i="16"/>
  <c r="EW1" i="16"/>
  <c r="EV1" i="16"/>
  <c r="BU1" i="16"/>
  <c r="AK1" i="16"/>
  <c r="F1" i="16"/>
  <c r="DC1" i="16"/>
  <c r="BJ1" i="16"/>
  <c r="BB1" i="16"/>
  <c r="AR1" i="16"/>
  <c r="BI1" i="16"/>
  <c r="EN1" i="16"/>
  <c r="CF1" i="16"/>
  <c r="AN1" i="16"/>
  <c r="CW1" i="16"/>
  <c r="A1" i="16"/>
  <c r="DK1" i="16"/>
  <c r="BF1" i="16"/>
  <c r="CL1" i="16"/>
  <c r="AZ1" i="16"/>
  <c r="DQ1" i="16"/>
  <c r="CB1" i="16"/>
  <c r="AC1" i="16"/>
  <c r="AV1" i="16"/>
  <c r="DA1" i="16"/>
  <c r="BQ1" i="16"/>
  <c r="BX1" i="16"/>
  <c r="Y1" i="16"/>
  <c r="CU1" i="16"/>
  <c r="EA1" i="16"/>
  <c r="EF1" i="16"/>
  <c r="AS1" i="16"/>
  <c r="AD1" i="16"/>
  <c r="DG1" i="16"/>
  <c r="CY1" i="16"/>
  <c r="N1" i="16"/>
  <c r="DV1" i="16"/>
  <c r="CH1" i="16"/>
  <c r="AI1" i="16"/>
  <c r="DT1" i="16"/>
  <c r="BA1" i="16"/>
  <c r="AP1" i="16"/>
  <c r="DR1" i="16"/>
  <c r="R1" i="16"/>
  <c r="CD1" i="16"/>
  <c r="S1" i="16"/>
  <c r="DO1" i="16"/>
  <c r="G1" i="16"/>
  <c r="BE1" i="16"/>
  <c r="EU1" i="16"/>
  <c r="CZ1" i="16"/>
  <c r="DZ1" i="16"/>
  <c r="BL1" i="16"/>
  <c r="W1" i="16"/>
  <c r="CP1" i="16"/>
  <c r="AJ1" i="16"/>
  <c r="CE1" i="16"/>
  <c r="CR1" i="16"/>
  <c r="CK1" i="16"/>
  <c r="DL1" i="16"/>
  <c r="CA1" i="16"/>
  <c r="EJ1" i="16"/>
  <c r="BP1" i="16"/>
  <c r="BZ1" i="16"/>
  <c r="U1" i="16"/>
  <c r="DJ1" i="16"/>
  <c r="CC1" i="16"/>
  <c r="AX1" i="16"/>
  <c r="EE1" i="16"/>
  <c r="DX1" i="16"/>
  <c r="L1" i="16"/>
  <c r="ER1" i="16"/>
  <c r="DE1" i="16"/>
  <c r="EP1" i="16"/>
  <c r="CM1" i="16"/>
  <c r="Q1" i="16"/>
  <c r="AY1" i="16"/>
  <c r="AA1" i="16"/>
  <c r="BY1" i="16"/>
  <c r="M1" i="16"/>
  <c r="ET1" i="16"/>
  <c r="EH1" i="16"/>
  <c r="EB1" i="16"/>
  <c r="DY1" i="16"/>
  <c r="V145" i="17" l="1"/>
  <c r="A297" i="15"/>
  <c r="V129" i="17"/>
  <c r="A280" i="15"/>
  <c r="V1035" i="17"/>
  <c r="A1169" i="15"/>
  <c r="A1133" i="15"/>
  <c r="V998" i="17"/>
  <c r="A1150" i="15"/>
  <c r="V1015" i="17"/>
  <c r="V984" i="17"/>
  <c r="A1120" i="15"/>
  <c r="V756" i="17"/>
  <c r="A895" i="15"/>
  <c r="V772" i="17"/>
  <c r="A912" i="15"/>
  <c r="V670" i="17"/>
  <c r="A804" i="15"/>
  <c r="V696" i="17"/>
  <c r="V580" i="17"/>
  <c r="A723" i="15"/>
  <c r="V566" i="17"/>
  <c r="A710" i="15"/>
  <c r="V597" i="17"/>
  <c r="A740" i="15"/>
  <c r="V617" i="17"/>
  <c r="A759" i="15"/>
  <c r="V387" i="17"/>
  <c r="A534" i="15"/>
  <c r="A517" i="15"/>
  <c r="V370" i="17"/>
  <c r="V356" i="17"/>
  <c r="A504" i="15"/>
  <c r="V407" i="17"/>
  <c r="A553" i="15"/>
  <c r="V252" i="17"/>
  <c r="A394" i="15"/>
  <c r="V341" i="17"/>
  <c r="A488" i="15"/>
  <c r="V69" i="17"/>
  <c r="V43" i="17"/>
  <c r="A189" i="15"/>
  <c r="V926" i="17"/>
  <c r="A1056" i="15"/>
  <c r="V717" i="17"/>
  <c r="A851" i="15"/>
  <c r="V508" i="17"/>
  <c r="A646" i="15"/>
  <c r="V299" i="17"/>
  <c r="A441" i="15"/>
  <c r="V90" i="17"/>
  <c r="A236" i="15"/>
  <c r="A169" i="15"/>
  <c r="V18" i="17"/>
  <c r="V553" i="17"/>
  <c r="A696" i="15"/>
  <c r="V971" i="17"/>
  <c r="A1106" i="15"/>
  <c r="V282" i="17"/>
  <c r="A423" i="15"/>
  <c r="V491" i="17"/>
  <c r="A628" i="15"/>
  <c r="V909" i="17"/>
  <c r="A1038" i="15"/>
  <c r="V882" i="17"/>
  <c r="A1012" i="15"/>
  <c r="V464" i="17"/>
  <c r="A602" i="15"/>
  <c r="V451" i="17"/>
  <c r="A590" i="15"/>
  <c r="V242" i="17"/>
  <c r="A385" i="15"/>
  <c r="V660" i="17"/>
  <c r="A795" i="15"/>
  <c r="V869" i="17"/>
  <c r="A1000" i="15"/>
  <c r="V34" i="17"/>
  <c r="A181" i="15"/>
  <c r="V130" i="17" l="1"/>
  <c r="A281" i="15"/>
  <c r="V159" i="17"/>
  <c r="A310" i="15"/>
  <c r="A298" i="15"/>
  <c r="V1016" i="17"/>
  <c r="A1151" i="15"/>
  <c r="A1134" i="15"/>
  <c r="V999" i="17"/>
  <c r="V985" i="17"/>
  <c r="A1121" i="15"/>
  <c r="V1036" i="17"/>
  <c r="V786" i="17"/>
  <c r="A925" i="15"/>
  <c r="A913" i="15"/>
  <c r="V671" i="17"/>
  <c r="A805" i="15"/>
  <c r="A830" i="15"/>
  <c r="V697" i="17"/>
  <c r="V757" i="17"/>
  <c r="A896" i="15"/>
  <c r="V567" i="17"/>
  <c r="A711" i="15"/>
  <c r="V618" i="17"/>
  <c r="A741" i="15"/>
  <c r="V598" i="17"/>
  <c r="V581" i="17"/>
  <c r="A724" i="15"/>
  <c r="V342" i="17"/>
  <c r="A489" i="15"/>
  <c r="V357" i="17"/>
  <c r="A505" i="15"/>
  <c r="A518" i="15"/>
  <c r="V371" i="17"/>
  <c r="A395" i="15"/>
  <c r="V253" i="17"/>
  <c r="V408" i="17"/>
  <c r="A554" i="15"/>
  <c r="A535" i="15"/>
  <c r="V388" i="17"/>
  <c r="A190" i="15"/>
  <c r="V44" i="17"/>
  <c r="A215" i="15"/>
  <c r="V70" i="17"/>
  <c r="V927" i="17"/>
  <c r="A1057" i="15"/>
  <c r="V718" i="17"/>
  <c r="A852" i="15"/>
  <c r="V509" i="17"/>
  <c r="A647" i="15"/>
  <c r="V300" i="17"/>
  <c r="A442" i="15"/>
  <c r="V91" i="17"/>
  <c r="A237" i="15"/>
  <c r="V227" i="17"/>
  <c r="A374" i="15"/>
  <c r="V19" i="17"/>
  <c r="A170" i="15"/>
  <c r="V854" i="17"/>
  <c r="A989" i="15"/>
  <c r="A579" i="15"/>
  <c r="V436" i="17"/>
  <c r="V645" i="17"/>
  <c r="A784" i="15"/>
  <c r="V554" i="17"/>
  <c r="A697" i="15"/>
  <c r="V972" i="17"/>
  <c r="A1107" i="15"/>
  <c r="V492" i="17"/>
  <c r="A629" i="15"/>
  <c r="V283" i="17"/>
  <c r="A424" i="15"/>
  <c r="V910" i="17"/>
  <c r="A1039" i="15"/>
  <c r="V883" i="17"/>
  <c r="A1013" i="15"/>
  <c r="V884" i="17"/>
  <c r="V466" i="17"/>
  <c r="V465" i="17"/>
  <c r="A603" i="15"/>
  <c r="V870" i="17"/>
  <c r="A1001" i="15"/>
  <c r="V36" i="17"/>
  <c r="A182" i="15"/>
  <c r="V452" i="17"/>
  <c r="A591" i="15"/>
  <c r="V661" i="17"/>
  <c r="A796" i="15"/>
  <c r="V243" i="17"/>
  <c r="A386" i="15"/>
  <c r="V160" i="17" l="1"/>
  <c r="V146" i="17"/>
  <c r="V177" i="17"/>
  <c r="A328" i="15"/>
  <c r="V131" i="17"/>
  <c r="A282" i="15"/>
  <c r="V986" i="17"/>
  <c r="A1122" i="15"/>
  <c r="V1000" i="17"/>
  <c r="A1135" i="15"/>
  <c r="V1037" i="17"/>
  <c r="A1152" i="15"/>
  <c r="V1017" i="17"/>
  <c r="V758" i="17"/>
  <c r="A897" i="15"/>
  <c r="V698" i="17"/>
  <c r="A831" i="15"/>
  <c r="V773" i="17"/>
  <c r="V804" i="17"/>
  <c r="A943" i="15"/>
  <c r="V672" i="17"/>
  <c r="A806" i="15"/>
  <c r="V787" i="17"/>
  <c r="V599" i="17"/>
  <c r="A742" i="15"/>
  <c r="V619" i="17"/>
  <c r="A725" i="15"/>
  <c r="V582" i="17"/>
  <c r="A712" i="15"/>
  <c r="V568" i="17"/>
  <c r="V372" i="17"/>
  <c r="A519" i="15"/>
  <c r="V389" i="17"/>
  <c r="A536" i="15"/>
  <c r="V409" i="17"/>
  <c r="V358" i="17"/>
  <c r="A506" i="15"/>
  <c r="V254" i="17"/>
  <c r="A396" i="15"/>
  <c r="A490" i="15"/>
  <c r="V343" i="17"/>
  <c r="A216" i="15"/>
  <c r="V71" i="17"/>
  <c r="V45" i="17"/>
  <c r="A191" i="15"/>
  <c r="V928" i="17"/>
  <c r="A1058" i="15"/>
  <c r="V719" i="17"/>
  <c r="A853" i="15"/>
  <c r="V510" i="17"/>
  <c r="A648" i="15"/>
  <c r="A443" i="15"/>
  <c r="V301" i="17"/>
  <c r="V92" i="17"/>
  <c r="A238" i="15"/>
  <c r="V646" i="17"/>
  <c r="A785" i="15"/>
  <c r="A375" i="15"/>
  <c r="V228" i="17"/>
  <c r="V437" i="17"/>
  <c r="A580" i="15"/>
  <c r="V438" i="17"/>
  <c r="V20" i="17"/>
  <c r="V229" i="17"/>
  <c r="V647" i="17"/>
  <c r="V856" i="17"/>
  <c r="V855" i="17"/>
  <c r="A990" i="15"/>
  <c r="V973" i="17"/>
  <c r="A1108" i="15"/>
  <c r="V555" i="17"/>
  <c r="A698" i="15"/>
  <c r="V493" i="17"/>
  <c r="A631" i="15"/>
  <c r="V911" i="17"/>
  <c r="A1041" i="15"/>
  <c r="V284" i="17"/>
  <c r="A426" i="15"/>
  <c r="V663" i="17"/>
  <c r="A797" i="15"/>
  <c r="V245" i="17"/>
  <c r="A387" i="15"/>
  <c r="V454" i="17"/>
  <c r="A592" i="15"/>
  <c r="V872" i="17"/>
  <c r="A1002" i="15"/>
  <c r="V198" i="17" l="1"/>
  <c r="A348" i="15"/>
  <c r="V178" i="17"/>
  <c r="A329" i="15"/>
  <c r="V147" i="17"/>
  <c r="A299" i="15"/>
  <c r="V132" i="17"/>
  <c r="A283" i="15"/>
  <c r="V161" i="17"/>
  <c r="A312" i="15"/>
  <c r="V1018" i="17"/>
  <c r="A1153" i="15"/>
  <c r="V1038" i="17"/>
  <c r="A1171" i="15"/>
  <c r="V987" i="17"/>
  <c r="V1001" i="17"/>
  <c r="A1136" i="15"/>
  <c r="V788" i="17"/>
  <c r="A927" i="15"/>
  <c r="V759" i="17"/>
  <c r="A898" i="15"/>
  <c r="V774" i="17"/>
  <c r="A914" i="15"/>
  <c r="V673" i="17"/>
  <c r="A807" i="15"/>
  <c r="V805" i="17"/>
  <c r="A944" i="15"/>
  <c r="V699" i="17"/>
  <c r="A832" i="15"/>
  <c r="V825" i="17"/>
  <c r="A963" i="15"/>
  <c r="V620" i="17"/>
  <c r="A761" i="15"/>
  <c r="V583" i="17"/>
  <c r="A726" i="15"/>
  <c r="V569" i="17"/>
  <c r="V600" i="17"/>
  <c r="A743" i="15"/>
  <c r="A491" i="15"/>
  <c r="V344" i="17"/>
  <c r="V410" i="17"/>
  <c r="V373" i="17"/>
  <c r="A520" i="15"/>
  <c r="V359" i="17"/>
  <c r="A507" i="15"/>
  <c r="A397" i="15"/>
  <c r="V255" i="17"/>
  <c r="V390" i="17"/>
  <c r="A537" i="15"/>
  <c r="A217" i="15"/>
  <c r="V72" i="17"/>
  <c r="V46" i="17"/>
  <c r="A192" i="15"/>
  <c r="V929" i="17"/>
  <c r="A1059" i="15"/>
  <c r="V720" i="17"/>
  <c r="A854" i="15"/>
  <c r="A649" i="15"/>
  <c r="V511" i="17"/>
  <c r="V302" i="17"/>
  <c r="A444" i="15"/>
  <c r="A239" i="15"/>
  <c r="V93" i="17"/>
  <c r="V22" i="17"/>
  <c r="A172" i="15"/>
  <c r="V556" i="17"/>
  <c r="A699" i="15"/>
  <c r="V974" i="17"/>
  <c r="A1109" i="15"/>
  <c r="V285" i="17"/>
  <c r="A427" i="15"/>
  <c r="V494" i="17"/>
  <c r="A632" i="15"/>
  <c r="V912" i="17"/>
  <c r="A1042" i="15"/>
  <c r="V467" i="17"/>
  <c r="A605" i="15"/>
  <c r="V885" i="17"/>
  <c r="A1015" i="15"/>
  <c r="V148" i="17" l="1"/>
  <c r="A300" i="15"/>
  <c r="A313" i="15"/>
  <c r="V162" i="17"/>
  <c r="V179" i="17"/>
  <c r="A330" i="15"/>
  <c r="A284" i="15"/>
  <c r="V133" i="17"/>
  <c r="V199" i="17"/>
  <c r="A349" i="15"/>
  <c r="V988" i="17"/>
  <c r="A1123" i="15"/>
  <c r="V1040" i="17"/>
  <c r="A1172" i="15"/>
  <c r="V1002" i="17"/>
  <c r="A1154" i="15"/>
  <c r="V1019" i="17"/>
  <c r="A808" i="15"/>
  <c r="V674" i="17"/>
  <c r="A928" i="15"/>
  <c r="V789" i="17"/>
  <c r="V700" i="17"/>
  <c r="A833" i="15"/>
  <c r="V775" i="17"/>
  <c r="A915" i="15"/>
  <c r="A945" i="15"/>
  <c r="V806" i="17"/>
  <c r="V760" i="17"/>
  <c r="A899" i="15"/>
  <c r="V826" i="17"/>
  <c r="A964" i="15"/>
  <c r="V584" i="17"/>
  <c r="V570" i="17"/>
  <c r="A713" i="15"/>
  <c r="V601" i="17"/>
  <c r="A744" i="15"/>
  <c r="A762" i="15"/>
  <c r="V622" i="17"/>
  <c r="V360" i="17"/>
  <c r="V391" i="17"/>
  <c r="A538" i="15"/>
  <c r="V345" i="17"/>
  <c r="A492" i="15"/>
  <c r="A521" i="15"/>
  <c r="V374" i="17"/>
  <c r="V411" i="17"/>
  <c r="A556" i="15"/>
  <c r="V256" i="17"/>
  <c r="A398" i="15"/>
  <c r="V47" i="17"/>
  <c r="A193" i="15"/>
  <c r="V73" i="17"/>
  <c r="A218" i="15"/>
  <c r="A1060" i="15"/>
  <c r="A855" i="15"/>
  <c r="A650" i="15"/>
  <c r="A445" i="15"/>
  <c r="A240" i="15"/>
  <c r="V231" i="17"/>
  <c r="A377" i="15"/>
  <c r="A787" i="15"/>
  <c r="V649" i="17"/>
  <c r="V440" i="17"/>
  <c r="A582" i="15"/>
  <c r="V858" i="17"/>
  <c r="A992" i="15"/>
  <c r="V975" i="17"/>
  <c r="A1110" i="15"/>
  <c r="V557" i="17"/>
  <c r="A700" i="15"/>
  <c r="V913" i="17"/>
  <c r="A1043" i="15"/>
  <c r="V286" i="17"/>
  <c r="A428" i="15"/>
  <c r="V495" i="17"/>
  <c r="A633" i="15"/>
  <c r="V886" i="17"/>
  <c r="A1016" i="15"/>
  <c r="V468" i="17"/>
  <c r="A606" i="15"/>
  <c r="A331" i="15" l="1"/>
  <c r="V180" i="17"/>
  <c r="V200" i="17"/>
  <c r="A314" i="15"/>
  <c r="V163" i="17"/>
  <c r="V134" i="17"/>
  <c r="A285" i="15"/>
  <c r="V149" i="17"/>
  <c r="A301" i="15"/>
  <c r="A1173" i="15"/>
  <c r="V1041" i="17"/>
  <c r="A1137" i="15"/>
  <c r="V1003" i="17"/>
  <c r="A1155" i="15"/>
  <c r="V1020" i="17"/>
  <c r="V989" i="17"/>
  <c r="A1124" i="15"/>
  <c r="V675" i="17"/>
  <c r="V761" i="17"/>
  <c r="A900" i="15"/>
  <c r="A834" i="15"/>
  <c r="V701" i="17"/>
  <c r="V776" i="17"/>
  <c r="A916" i="15"/>
  <c r="V807" i="17"/>
  <c r="A946" i="15"/>
  <c r="V790" i="17"/>
  <c r="A929" i="15"/>
  <c r="V827" i="17"/>
  <c r="V623" i="17"/>
  <c r="A763" i="15"/>
  <c r="A745" i="15"/>
  <c r="V602" i="17"/>
  <c r="V585" i="17"/>
  <c r="A727" i="15"/>
  <c r="V571" i="17"/>
  <c r="A714" i="15"/>
  <c r="V257" i="17"/>
  <c r="V375" i="17"/>
  <c r="V346" i="17"/>
  <c r="A493" i="15"/>
  <c r="V361" i="17"/>
  <c r="A508" i="15"/>
  <c r="A539" i="15"/>
  <c r="V392" i="17"/>
  <c r="V413" i="17"/>
  <c r="A557" i="15"/>
  <c r="A219" i="15"/>
  <c r="V74" i="17"/>
  <c r="V48" i="17"/>
  <c r="A1061" i="15"/>
  <c r="V930" i="17"/>
  <c r="V721" i="17"/>
  <c r="A856" i="15"/>
  <c r="A651" i="15"/>
  <c r="V512" i="17"/>
  <c r="V303" i="17"/>
  <c r="A446" i="15"/>
  <c r="V94" i="17"/>
  <c r="A241" i="15"/>
  <c r="A1111" i="15"/>
  <c r="A701" i="15"/>
  <c r="V287" i="17"/>
  <c r="A429" i="15"/>
  <c r="V496" i="17"/>
  <c r="A634" i="15"/>
  <c r="V914" i="17"/>
  <c r="A1044" i="15"/>
  <c r="V469" i="17"/>
  <c r="A607" i="15"/>
  <c r="V887" i="17"/>
  <c r="A1017" i="15"/>
  <c r="V888" i="17"/>
  <c r="V470" i="17"/>
  <c r="A315" i="15" l="1"/>
  <c r="V164" i="17"/>
  <c r="V150" i="17"/>
  <c r="A302" i="15"/>
  <c r="V201" i="17"/>
  <c r="A286" i="15"/>
  <c r="V135" i="17"/>
  <c r="A332" i="15"/>
  <c r="V181" i="17"/>
  <c r="A1174" i="15"/>
  <c r="V1042" i="17"/>
  <c r="A1156" i="15"/>
  <c r="V1021" i="17"/>
  <c r="A1139" i="15"/>
  <c r="V1004" i="17"/>
  <c r="V990" i="17"/>
  <c r="V777" i="17"/>
  <c r="A917" i="15"/>
  <c r="A810" i="15"/>
  <c r="V676" i="17"/>
  <c r="V791" i="17"/>
  <c r="A930" i="15"/>
  <c r="V828" i="17"/>
  <c r="V702" i="17"/>
  <c r="A836" i="15"/>
  <c r="A947" i="15"/>
  <c r="V808" i="17"/>
  <c r="A901" i="15"/>
  <c r="V762" i="17"/>
  <c r="V586" i="17"/>
  <c r="A729" i="15"/>
  <c r="V572" i="17"/>
  <c r="V624" i="17"/>
  <c r="A764" i="15"/>
  <c r="V603" i="17"/>
  <c r="A746" i="15"/>
  <c r="V414" i="17"/>
  <c r="A558" i="15"/>
  <c r="V347" i="17"/>
  <c r="A494" i="15"/>
  <c r="V362" i="17"/>
  <c r="A509" i="15"/>
  <c r="V393" i="17"/>
  <c r="A540" i="15"/>
  <c r="V376" i="17"/>
  <c r="A522" i="15"/>
  <c r="A400" i="15"/>
  <c r="V258" i="17"/>
  <c r="A195" i="15"/>
  <c r="V49" i="17"/>
  <c r="V75" i="17"/>
  <c r="A221" i="15"/>
  <c r="V931" i="17"/>
  <c r="A1062" i="15"/>
  <c r="A857" i="15"/>
  <c r="V722" i="17"/>
  <c r="V513" i="17"/>
  <c r="A652" i="15"/>
  <c r="V304" i="17"/>
  <c r="A447" i="15"/>
  <c r="A242" i="15"/>
  <c r="V95" i="17"/>
  <c r="V976" i="17"/>
  <c r="A1112" i="15"/>
  <c r="V558" i="17"/>
  <c r="A702" i="15"/>
  <c r="V559" i="17"/>
  <c r="V977" i="17"/>
  <c r="V497" i="17"/>
  <c r="A635" i="15"/>
  <c r="V915" i="17"/>
  <c r="A1045" i="15"/>
  <c r="V288" i="17"/>
  <c r="A430" i="15"/>
  <c r="V202" i="17" l="1"/>
  <c r="A351" i="15"/>
  <c r="A333" i="15"/>
  <c r="V182" i="17"/>
  <c r="V151" i="17"/>
  <c r="A287" i="15"/>
  <c r="V136" i="17"/>
  <c r="V165" i="17"/>
  <c r="A316" i="15"/>
  <c r="V1043" i="17"/>
  <c r="A1175" i="15"/>
  <c r="V1005" i="17"/>
  <c r="V991" i="17"/>
  <c r="A1157" i="15"/>
  <c r="V1023" i="17"/>
  <c r="V763" i="17"/>
  <c r="A902" i="15"/>
  <c r="V778" i="17"/>
  <c r="V809" i="17"/>
  <c r="A948" i="15"/>
  <c r="V792" i="17"/>
  <c r="A931" i="15"/>
  <c r="V829" i="17"/>
  <c r="A966" i="15"/>
  <c r="V703" i="17"/>
  <c r="A837" i="15"/>
  <c r="V677" i="17"/>
  <c r="A811" i="15"/>
  <c r="V587" i="17"/>
  <c r="V625" i="17"/>
  <c r="A765" i="15"/>
  <c r="A747" i="15"/>
  <c r="V605" i="17"/>
  <c r="V573" i="17"/>
  <c r="V363" i="17"/>
  <c r="A559" i="15"/>
  <c r="V415" i="17"/>
  <c r="V348" i="17"/>
  <c r="A495" i="15"/>
  <c r="V259" i="17"/>
  <c r="A401" i="15"/>
  <c r="A524" i="15"/>
  <c r="V377" i="17"/>
  <c r="A541" i="15"/>
  <c r="V394" i="17"/>
  <c r="A222" i="15"/>
  <c r="V76" i="17"/>
  <c r="A196" i="15"/>
  <c r="V50" i="17"/>
  <c r="A1063" i="15"/>
  <c r="A858" i="15"/>
  <c r="A653" i="15"/>
  <c r="A448" i="15"/>
  <c r="A243" i="15"/>
  <c r="V289" i="17"/>
  <c r="A431" i="15"/>
  <c r="V916" i="17"/>
  <c r="A1046" i="15"/>
  <c r="V498" i="17"/>
  <c r="A636" i="15"/>
  <c r="V471" i="17"/>
  <c r="A609" i="15"/>
  <c r="V889" i="17"/>
  <c r="A1019" i="15"/>
  <c r="V152" i="17" l="1"/>
  <c r="A303" i="15"/>
  <c r="V166" i="17"/>
  <c r="V183" i="17"/>
  <c r="A334" i="15"/>
  <c r="V137" i="17"/>
  <c r="A288" i="15"/>
  <c r="A352" i="15"/>
  <c r="V204" i="17"/>
  <c r="V1044" i="17"/>
  <c r="A1176" i="15"/>
  <c r="V1024" i="17"/>
  <c r="V992" i="17"/>
  <c r="A1127" i="15"/>
  <c r="V1006" i="17"/>
  <c r="V793" i="17"/>
  <c r="V764" i="17"/>
  <c r="A903" i="15"/>
  <c r="V704" i="17"/>
  <c r="A838" i="15"/>
  <c r="A949" i="15"/>
  <c r="V810" i="17"/>
  <c r="A812" i="15"/>
  <c r="V678" i="17"/>
  <c r="A967" i="15"/>
  <c r="V831" i="17"/>
  <c r="A918" i="15"/>
  <c r="V779" i="17"/>
  <c r="V606" i="17"/>
  <c r="V626" i="17"/>
  <c r="A766" i="15"/>
  <c r="V574" i="17"/>
  <c r="A717" i="15"/>
  <c r="V588" i="17"/>
  <c r="V396" i="17"/>
  <c r="A542" i="15"/>
  <c r="A496" i="15"/>
  <c r="V378" i="17"/>
  <c r="V416" i="17"/>
  <c r="A560" i="15"/>
  <c r="V260" i="17"/>
  <c r="A402" i="15"/>
  <c r="V364" i="17"/>
  <c r="V77" i="17"/>
  <c r="A223" i="15"/>
  <c r="V51" i="17"/>
  <c r="A197" i="15"/>
  <c r="V932" i="17"/>
  <c r="V723" i="17"/>
  <c r="V514" i="17"/>
  <c r="V305" i="17"/>
  <c r="V560" i="17"/>
  <c r="A704" i="15"/>
  <c r="V978" i="17"/>
  <c r="A1114" i="15"/>
  <c r="V917" i="17"/>
  <c r="A1047" i="15"/>
  <c r="V290" i="17"/>
  <c r="A432" i="15"/>
  <c r="V499" i="17"/>
  <c r="A637" i="15"/>
  <c r="V918" i="17"/>
  <c r="V500" i="17"/>
  <c r="V291" i="17"/>
  <c r="V890" i="17"/>
  <c r="A1020" i="15"/>
  <c r="V472" i="17"/>
  <c r="A610" i="15"/>
  <c r="A335" i="15" l="1"/>
  <c r="V184" i="17"/>
  <c r="A353" i="15"/>
  <c r="V205" i="17"/>
  <c r="A317" i="15"/>
  <c r="V167" i="17"/>
  <c r="V138" i="17"/>
  <c r="A289" i="15"/>
  <c r="V153" i="17"/>
  <c r="A304" i="15"/>
  <c r="A1128" i="15"/>
  <c r="V993" i="17"/>
  <c r="A1159" i="15"/>
  <c r="V1025" i="17"/>
  <c r="A1142" i="15"/>
  <c r="V1007" i="17"/>
  <c r="V1045" i="17"/>
  <c r="A1177" i="15"/>
  <c r="V832" i="17"/>
  <c r="A968" i="15"/>
  <c r="V794" i="17"/>
  <c r="A932" i="15"/>
  <c r="V679" i="17"/>
  <c r="V765" i="17"/>
  <c r="A904" i="15"/>
  <c r="V811" i="17"/>
  <c r="A950" i="15"/>
  <c r="A839" i="15"/>
  <c r="V705" i="17"/>
  <c r="V780" i="17"/>
  <c r="A919" i="15"/>
  <c r="A718" i="15"/>
  <c r="V575" i="17"/>
  <c r="A767" i="15"/>
  <c r="V627" i="17"/>
  <c r="V589" i="17"/>
  <c r="A732" i="15"/>
  <c r="A749" i="15"/>
  <c r="V607" i="17"/>
  <c r="A512" i="15"/>
  <c r="V365" i="17"/>
  <c r="V379" i="17"/>
  <c r="V261" i="17"/>
  <c r="V349" i="17"/>
  <c r="A497" i="15"/>
  <c r="V417" i="17"/>
  <c r="A561" i="15"/>
  <c r="V397" i="17"/>
  <c r="V52" i="17"/>
  <c r="A224" i="15"/>
  <c r="V78" i="17"/>
  <c r="V933" i="17"/>
  <c r="V724" i="17"/>
  <c r="V515" i="17"/>
  <c r="V306" i="17"/>
  <c r="V97" i="17"/>
  <c r="V979" i="17"/>
  <c r="A1115" i="15"/>
  <c r="V561" i="17"/>
  <c r="A705" i="15"/>
  <c r="V892" i="17"/>
  <c r="A1021" i="15"/>
  <c r="V474" i="17"/>
  <c r="A611" i="15"/>
  <c r="V154" i="17" l="1"/>
  <c r="A354" i="15"/>
  <c r="V206" i="17"/>
  <c r="V139" i="17"/>
  <c r="A290" i="15"/>
  <c r="A319" i="15"/>
  <c r="V168" i="17"/>
  <c r="V185" i="17"/>
  <c r="A336" i="15"/>
  <c r="V1046" i="17"/>
  <c r="A1178" i="15"/>
  <c r="V994" i="17"/>
  <c r="A1129" i="15"/>
  <c r="V1008" i="17"/>
  <c r="V1026" i="17"/>
  <c r="V706" i="17"/>
  <c r="A840" i="15"/>
  <c r="V812" i="17"/>
  <c r="A951" i="15"/>
  <c r="V795" i="17"/>
  <c r="A934" i="15"/>
  <c r="V680" i="17"/>
  <c r="A814" i="15"/>
  <c r="V781" i="17"/>
  <c r="A905" i="15"/>
  <c r="V766" i="17"/>
  <c r="A969" i="15"/>
  <c r="V833" i="17"/>
  <c r="V628" i="17"/>
  <c r="A768" i="15"/>
  <c r="V590" i="17"/>
  <c r="V608" i="17"/>
  <c r="V576" i="17"/>
  <c r="A719" i="15"/>
  <c r="V350" i="17"/>
  <c r="A544" i="15"/>
  <c r="V398" i="17"/>
  <c r="V380" i="17"/>
  <c r="A527" i="15"/>
  <c r="A513" i="15"/>
  <c r="V366" i="17"/>
  <c r="V262" i="17"/>
  <c r="A404" i="15"/>
  <c r="A562" i="15"/>
  <c r="V418" i="17"/>
  <c r="A199" i="15"/>
  <c r="V53" i="17"/>
  <c r="V79" i="17"/>
  <c r="A225" i="15"/>
  <c r="A1066" i="15"/>
  <c r="A861" i="15"/>
  <c r="A656" i="15"/>
  <c r="A451" i="15"/>
  <c r="A246" i="15"/>
  <c r="V980" i="17"/>
  <c r="A1116" i="15"/>
  <c r="V562" i="17"/>
  <c r="A706" i="15"/>
  <c r="V919" i="17"/>
  <c r="A1049" i="15"/>
  <c r="V501" i="17"/>
  <c r="A639" i="15"/>
  <c r="V292" i="17"/>
  <c r="A434" i="15"/>
  <c r="V475" i="17"/>
  <c r="A612" i="15"/>
  <c r="V893" i="17"/>
  <c r="A1022" i="15"/>
  <c r="A291" i="15" l="1"/>
  <c r="V187" i="17"/>
  <c r="A337" i="15"/>
  <c r="V207" i="17"/>
  <c r="A355" i="15"/>
  <c r="V169" i="17"/>
  <c r="V155" i="17"/>
  <c r="V1027" i="17"/>
  <c r="V1009" i="17"/>
  <c r="A1144" i="15"/>
  <c r="V1048" i="17"/>
  <c r="A1179" i="15"/>
  <c r="V796" i="17"/>
  <c r="V782" i="17"/>
  <c r="A906" i="15"/>
  <c r="V814" i="17"/>
  <c r="A952" i="15"/>
  <c r="A970" i="15"/>
  <c r="V834" i="17"/>
  <c r="V681" i="17"/>
  <c r="A815" i="15"/>
  <c r="V707" i="17"/>
  <c r="A841" i="15"/>
  <c r="V609" i="17"/>
  <c r="V591" i="17"/>
  <c r="A734" i="15"/>
  <c r="A769" i="15"/>
  <c r="V630" i="17"/>
  <c r="V419" i="17"/>
  <c r="A563" i="15"/>
  <c r="V381" i="17"/>
  <c r="V263" i="17"/>
  <c r="A405" i="15"/>
  <c r="A514" i="15"/>
  <c r="V367" i="17"/>
  <c r="V399" i="17"/>
  <c r="A499" i="15"/>
  <c r="V351" i="17"/>
  <c r="V54" i="17"/>
  <c r="A200" i="15"/>
  <c r="V80" i="17"/>
  <c r="A226" i="15"/>
  <c r="A1067" i="15"/>
  <c r="A862" i="15"/>
  <c r="A657" i="15"/>
  <c r="A452" i="15"/>
  <c r="A247" i="15"/>
  <c r="V920" i="17"/>
  <c r="A1050" i="15"/>
  <c r="V502" i="17"/>
  <c r="A640" i="15"/>
  <c r="V293" i="17"/>
  <c r="A435" i="15"/>
  <c r="V894" i="17"/>
  <c r="A1023" i="15"/>
  <c r="V476" i="17"/>
  <c r="A613" i="15"/>
  <c r="V156" i="17" l="1"/>
  <c r="A307" i="15"/>
  <c r="V188" i="17"/>
  <c r="V170" i="17"/>
  <c r="V208" i="17"/>
  <c r="A356" i="15"/>
  <c r="A292" i="15"/>
  <c r="V140" i="17"/>
  <c r="V1010" i="17"/>
  <c r="A1145" i="15"/>
  <c r="V1028" i="17"/>
  <c r="V815" i="17"/>
  <c r="V767" i="17"/>
  <c r="A907" i="15"/>
  <c r="V683" i="17"/>
  <c r="A816" i="15"/>
  <c r="V835" i="17"/>
  <c r="A971" i="15"/>
  <c r="V783" i="17"/>
  <c r="A922" i="15"/>
  <c r="V708" i="17"/>
  <c r="A842" i="15"/>
  <c r="V797" i="17"/>
  <c r="V592" i="17"/>
  <c r="A735" i="15"/>
  <c r="V610" i="17"/>
  <c r="A406" i="15"/>
  <c r="V265" i="17"/>
  <c r="V352" i="17"/>
  <c r="A500" i="15"/>
  <c r="A529" i="15"/>
  <c r="V382" i="17"/>
  <c r="V400" i="17"/>
  <c r="A564" i="15"/>
  <c r="V421" i="17"/>
  <c r="V56" i="17"/>
  <c r="A201" i="15"/>
  <c r="V81" i="17"/>
  <c r="A227" i="15"/>
  <c r="V940" i="17"/>
  <c r="A1075" i="15"/>
  <c r="V934" i="17"/>
  <c r="A1068" i="15"/>
  <c r="V731" i="17"/>
  <c r="A870" i="15"/>
  <c r="A863" i="15"/>
  <c r="V725" i="17"/>
  <c r="V522" i="17"/>
  <c r="A665" i="15"/>
  <c r="V516" i="17"/>
  <c r="A658" i="15"/>
  <c r="V313" i="17"/>
  <c r="A460" i="15"/>
  <c r="A453" i="15"/>
  <c r="V307" i="17"/>
  <c r="V98" i="17"/>
  <c r="A248" i="15"/>
  <c r="V104" i="17"/>
  <c r="A255" i="15"/>
  <c r="V921" i="17"/>
  <c r="A1051" i="15"/>
  <c r="V294" i="17"/>
  <c r="A436" i="15"/>
  <c r="V503" i="17"/>
  <c r="A641" i="15"/>
  <c r="V477" i="17"/>
  <c r="A614" i="15"/>
  <c r="V895" i="17"/>
  <c r="A1024" i="15"/>
  <c r="V106" i="17" l="1"/>
  <c r="A257" i="15"/>
  <c r="A357" i="15"/>
  <c r="V209" i="17"/>
  <c r="V171" i="17"/>
  <c r="A322" i="15"/>
  <c r="A339" i="15"/>
  <c r="V189" i="17"/>
  <c r="V141" i="17"/>
  <c r="A308" i="15"/>
  <c r="V157" i="17"/>
  <c r="V942" i="17"/>
  <c r="A1077" i="15"/>
  <c r="V1012" i="17"/>
  <c r="V1011" i="17"/>
  <c r="A1146" i="15"/>
  <c r="V1029" i="17"/>
  <c r="V709" i="17"/>
  <c r="V784" i="17"/>
  <c r="A923" i="15"/>
  <c r="V684" i="17"/>
  <c r="A817" i="15"/>
  <c r="V768" i="17"/>
  <c r="V733" i="17"/>
  <c r="A872" i="15"/>
  <c r="V798" i="17"/>
  <c r="A937" i="15"/>
  <c r="V836" i="17"/>
  <c r="A972" i="15"/>
  <c r="A954" i="15"/>
  <c r="V816" i="17"/>
  <c r="V611" i="17"/>
  <c r="V524" i="17"/>
  <c r="A667" i="15"/>
  <c r="V594" i="17"/>
  <c r="A736" i="15"/>
  <c r="V593" i="17"/>
  <c r="V315" i="17"/>
  <c r="A462" i="15"/>
  <c r="V353" i="17"/>
  <c r="A501" i="15"/>
  <c r="A530" i="15"/>
  <c r="V383" i="17"/>
  <c r="V401" i="17"/>
  <c r="A407" i="15"/>
  <c r="V266" i="17"/>
  <c r="V57" i="17"/>
  <c r="A202" i="15"/>
  <c r="V82" i="17"/>
  <c r="V941" i="17"/>
  <c r="A1076" i="15"/>
  <c r="A1069" i="15"/>
  <c r="A864" i="15"/>
  <c r="V732" i="17"/>
  <c r="A871" i="15"/>
  <c r="A659" i="15"/>
  <c r="V523" i="17"/>
  <c r="A666" i="15"/>
  <c r="A454" i="15"/>
  <c r="V314" i="17"/>
  <c r="A461" i="15"/>
  <c r="A249" i="15"/>
  <c r="V105" i="17"/>
  <c r="A256" i="15"/>
  <c r="V922" i="17"/>
  <c r="A1052" i="15"/>
  <c r="V295" i="17"/>
  <c r="A437" i="15"/>
  <c r="V504" i="17"/>
  <c r="A642" i="15"/>
  <c r="V896" i="17"/>
  <c r="A1025" i="15"/>
  <c r="V478" i="17"/>
  <c r="A615" i="15"/>
  <c r="V142" i="17" l="1"/>
  <c r="A294" i="15"/>
  <c r="V210" i="17"/>
  <c r="A358" i="15"/>
  <c r="V172" i="17"/>
  <c r="V158" i="17"/>
  <c r="A309" i="15"/>
  <c r="V190" i="17"/>
  <c r="V107" i="17"/>
  <c r="A258" i="15"/>
  <c r="V943" i="17"/>
  <c r="A1078" i="15"/>
  <c r="A1164" i="15"/>
  <c r="V1030" i="17"/>
  <c r="V799" i="17"/>
  <c r="V817" i="17"/>
  <c r="A818" i="15"/>
  <c r="V685" i="17"/>
  <c r="V734" i="17"/>
  <c r="A873" i="15"/>
  <c r="V785" i="17"/>
  <c r="A924" i="15"/>
  <c r="V837" i="17"/>
  <c r="A973" i="15"/>
  <c r="V769" i="17"/>
  <c r="A909" i="15"/>
  <c r="A844" i="15"/>
  <c r="V710" i="17"/>
  <c r="V525" i="17"/>
  <c r="A668" i="15"/>
  <c r="V612" i="17"/>
  <c r="A754" i="15"/>
  <c r="V385" i="17"/>
  <c r="V384" i="17"/>
  <c r="A531" i="15"/>
  <c r="V267" i="17"/>
  <c r="A408" i="15"/>
  <c r="V402" i="17"/>
  <c r="V316" i="17"/>
  <c r="A463" i="15"/>
  <c r="V83" i="17"/>
  <c r="A229" i="15"/>
  <c r="A203" i="15"/>
  <c r="V58" i="17"/>
  <c r="V935" i="17"/>
  <c r="A1070" i="15"/>
  <c r="V726" i="17"/>
  <c r="A865" i="15"/>
  <c r="V517" i="17"/>
  <c r="A660" i="15"/>
  <c r="A455" i="15"/>
  <c r="V308" i="17"/>
  <c r="V99" i="17"/>
  <c r="A250" i="15"/>
  <c r="V897" i="17"/>
  <c r="A1026" i="15"/>
  <c r="V479" i="17"/>
  <c r="A616" i="15"/>
  <c r="V108" i="17" l="1"/>
  <c r="A259" i="15"/>
  <c r="A359" i="15"/>
  <c r="V212" i="17"/>
  <c r="V191" i="17"/>
  <c r="A324" i="15"/>
  <c r="V173" i="17"/>
  <c r="V143" i="17"/>
  <c r="A295" i="15"/>
  <c r="V1031" i="17"/>
  <c r="V944" i="17"/>
  <c r="A1079" i="15"/>
  <c r="A910" i="15"/>
  <c r="V770" i="17"/>
  <c r="A819" i="15"/>
  <c r="V686" i="17"/>
  <c r="V818" i="17"/>
  <c r="A974" i="15"/>
  <c r="V839" i="17"/>
  <c r="V735" i="17"/>
  <c r="A874" i="15"/>
  <c r="A845" i="15"/>
  <c r="V711" i="17"/>
  <c r="V800" i="17"/>
  <c r="A939" i="15"/>
  <c r="V613" i="17"/>
  <c r="A669" i="15"/>
  <c r="V526" i="17"/>
  <c r="A409" i="15"/>
  <c r="V268" i="17"/>
  <c r="A549" i="15"/>
  <c r="V403" i="17"/>
  <c r="V317" i="17"/>
  <c r="A464" i="15"/>
  <c r="A204" i="15"/>
  <c r="V59" i="17"/>
  <c r="V84" i="17"/>
  <c r="A230" i="15"/>
  <c r="V936" i="17"/>
  <c r="A1071" i="15"/>
  <c r="A866" i="15"/>
  <c r="V727" i="17"/>
  <c r="V518" i="17"/>
  <c r="A661" i="15"/>
  <c r="A456" i="15"/>
  <c r="V309" i="17"/>
  <c r="A251" i="15"/>
  <c r="V100" i="17"/>
  <c r="V898" i="17"/>
  <c r="A1027" i="15"/>
  <c r="V480" i="17"/>
  <c r="A617" i="15"/>
  <c r="V192" i="17" l="1"/>
  <c r="V174" i="17"/>
  <c r="A325" i="15"/>
  <c r="V144" i="17"/>
  <c r="A296" i="15"/>
  <c r="A260" i="15"/>
  <c r="V109" i="17"/>
  <c r="A1080" i="15"/>
  <c r="V945" i="17"/>
  <c r="A1166" i="15"/>
  <c r="V1032" i="17"/>
  <c r="A846" i="15"/>
  <c r="V712" i="17"/>
  <c r="V819" i="17"/>
  <c r="A820" i="15"/>
  <c r="V687" i="17"/>
  <c r="A875" i="15"/>
  <c r="V736" i="17"/>
  <c r="A940" i="15"/>
  <c r="V801" i="17"/>
  <c r="A911" i="15"/>
  <c r="V771" i="17"/>
  <c r="V527" i="17"/>
  <c r="A670" i="15"/>
  <c r="V614" i="17"/>
  <c r="A756" i="15"/>
  <c r="V318" i="17"/>
  <c r="A465" i="15"/>
  <c r="V404" i="17"/>
  <c r="V269" i="17"/>
  <c r="A410" i="15"/>
  <c r="V85" i="17"/>
  <c r="A231" i="15"/>
  <c r="V60" i="17"/>
  <c r="A205" i="15"/>
  <c r="V937" i="17"/>
  <c r="A1072" i="15"/>
  <c r="V728" i="17"/>
  <c r="A867" i="15"/>
  <c r="V519" i="17"/>
  <c r="A662" i="15"/>
  <c r="A457" i="15"/>
  <c r="V310" i="17"/>
  <c r="V101" i="17"/>
  <c r="A252" i="15"/>
  <c r="V481" i="17"/>
  <c r="A618" i="15"/>
  <c r="V899" i="17"/>
  <c r="A1028" i="15"/>
  <c r="V176" i="17" l="1"/>
  <c r="V175" i="17"/>
  <c r="A326" i="15"/>
  <c r="V110" i="17"/>
  <c r="A261" i="15"/>
  <c r="V193" i="17"/>
  <c r="V1033" i="17"/>
  <c r="A1167" i="15"/>
  <c r="V946" i="17"/>
  <c r="A1081" i="15"/>
  <c r="A821" i="15"/>
  <c r="V688" i="17"/>
  <c r="V803" i="17"/>
  <c r="A941" i="15"/>
  <c r="V802" i="17"/>
  <c r="V820" i="17"/>
  <c r="V737" i="17"/>
  <c r="A876" i="15"/>
  <c r="V713" i="17"/>
  <c r="A847" i="15"/>
  <c r="V615" i="17"/>
  <c r="A757" i="15"/>
  <c r="V528" i="17"/>
  <c r="A671" i="15"/>
  <c r="V270" i="17"/>
  <c r="A411" i="15"/>
  <c r="V405" i="17"/>
  <c r="A551" i="15"/>
  <c r="V319" i="17"/>
  <c r="A466" i="15"/>
  <c r="V61" i="17"/>
  <c r="A206" i="15"/>
  <c r="A232" i="15"/>
  <c r="V86" i="17"/>
  <c r="V938" i="17"/>
  <c r="A1073" i="15"/>
  <c r="V729" i="17"/>
  <c r="A868" i="15"/>
  <c r="V520" i="17"/>
  <c r="A663" i="15"/>
  <c r="V311" i="17"/>
  <c r="A458" i="15"/>
  <c r="V102" i="17"/>
  <c r="A253" i="15"/>
  <c r="V482" i="17"/>
  <c r="A619" i="15"/>
  <c r="V900" i="17"/>
  <c r="A1029" i="15"/>
  <c r="V194" i="17" l="1"/>
  <c r="A344" i="15"/>
  <c r="A262" i="15"/>
  <c r="V111" i="17"/>
  <c r="V947" i="17"/>
  <c r="A1082" i="15"/>
  <c r="A959" i="15"/>
  <c r="V821" i="17"/>
  <c r="A877" i="15"/>
  <c r="V738" i="17"/>
  <c r="A822" i="15"/>
  <c r="V689" i="17"/>
  <c r="V529" i="17"/>
  <c r="A672" i="15"/>
  <c r="V406" i="17"/>
  <c r="A552" i="15"/>
  <c r="V320" i="17"/>
  <c r="A467" i="15"/>
  <c r="V271" i="17"/>
  <c r="A412" i="15"/>
  <c r="A207" i="15"/>
  <c r="V62" i="17"/>
  <c r="V939" i="17"/>
  <c r="A1074" i="15"/>
  <c r="V730" i="17"/>
  <c r="A869" i="15"/>
  <c r="V521" i="17"/>
  <c r="A664" i="15"/>
  <c r="V312" i="17"/>
  <c r="A459" i="15"/>
  <c r="V103" i="17"/>
  <c r="A254" i="15"/>
  <c r="V483" i="17"/>
  <c r="A620" i="15"/>
  <c r="V901" i="17"/>
  <c r="A1030" i="15"/>
  <c r="V112" i="17" l="1"/>
  <c r="A263" i="15"/>
  <c r="V195" i="17"/>
  <c r="V948" i="17"/>
  <c r="A1083" i="15"/>
  <c r="A878" i="15"/>
  <c r="V739" i="17"/>
  <c r="A823" i="15"/>
  <c r="V690" i="17"/>
  <c r="V822" i="17"/>
  <c r="V530" i="17"/>
  <c r="A673" i="15"/>
  <c r="V272" i="17"/>
  <c r="A413" i="15"/>
  <c r="V321" i="17"/>
  <c r="A468" i="15"/>
  <c r="A208" i="15"/>
  <c r="V63" i="17"/>
  <c r="A346" i="15" l="1"/>
  <c r="V196" i="17"/>
  <c r="A264" i="15"/>
  <c r="V113" i="17"/>
  <c r="V949" i="17"/>
  <c r="A1084" i="15"/>
  <c r="V823" i="17"/>
  <c r="A961" i="15"/>
  <c r="A824" i="15"/>
  <c r="V691" i="17"/>
  <c r="V740" i="17"/>
  <c r="A879" i="15"/>
  <c r="V531" i="17"/>
  <c r="A674" i="15"/>
  <c r="V322" i="17"/>
  <c r="A469" i="15"/>
  <c r="A414" i="15"/>
  <c r="V273" i="17"/>
  <c r="V64" i="17"/>
  <c r="A209" i="15"/>
  <c r="V114" i="17" l="1"/>
  <c r="A266" i="15"/>
  <c r="A347" i="15"/>
  <c r="V197" i="17"/>
  <c r="A1086" i="15"/>
  <c r="V950" i="17"/>
  <c r="V741" i="17"/>
  <c r="A881" i="15"/>
  <c r="V692" i="17"/>
  <c r="A825" i="15"/>
  <c r="V824" i="17"/>
  <c r="A962" i="15"/>
  <c r="A676" i="15"/>
  <c r="V532" i="17"/>
  <c r="A415" i="15"/>
  <c r="V274" i="17"/>
  <c r="A471" i="15"/>
  <c r="V323" i="17"/>
  <c r="V65" i="17"/>
  <c r="A210" i="15"/>
  <c r="V115" i="17" l="1"/>
  <c r="A267" i="15"/>
  <c r="A1087" i="15"/>
  <c r="V951" i="17"/>
  <c r="A882" i="15"/>
  <c r="V742" i="17"/>
  <c r="V533" i="17"/>
  <c r="A677" i="15"/>
  <c r="A472" i="15"/>
  <c r="V324" i="17"/>
  <c r="A268" i="15" l="1"/>
  <c r="V116" i="17"/>
  <c r="V952" i="17"/>
  <c r="A1088" i="15"/>
  <c r="V743" i="17"/>
  <c r="A883" i="15"/>
  <c r="V534" i="17"/>
  <c r="A678" i="15"/>
  <c r="V325" i="17"/>
  <c r="A473" i="15"/>
  <c r="V117" i="17" l="1"/>
  <c r="A269" i="15"/>
  <c r="V953" i="17"/>
  <c r="A1089" i="15"/>
  <c r="A884" i="15"/>
  <c r="V744" i="17"/>
  <c r="V535" i="17"/>
  <c r="A679" i="15"/>
  <c r="V326" i="17"/>
  <c r="A474" i="15"/>
  <c r="V118" i="17" l="1"/>
  <c r="A270" i="15"/>
  <c r="V954" i="17"/>
  <c r="A1090" i="15"/>
  <c r="V745" i="17"/>
  <c r="A885" i="15"/>
  <c r="V536" i="17"/>
  <c r="A680" i="15"/>
  <c r="V327" i="17"/>
  <c r="A475" i="15"/>
  <c r="V119" i="17" l="1"/>
  <c r="A271" i="15"/>
  <c r="V955" i="17"/>
  <c r="A1091" i="15"/>
  <c r="V746" i="17"/>
  <c r="A886" i="15"/>
  <c r="V537" i="17"/>
  <c r="A681" i="15"/>
  <c r="V328" i="17"/>
  <c r="A476" i="15"/>
  <c r="V120" i="17" l="1"/>
  <c r="A272" i="15"/>
  <c r="A1092" i="15"/>
  <c r="V956" i="17"/>
  <c r="V747" i="17"/>
  <c r="A887" i="15"/>
  <c r="V538" i="17"/>
  <c r="A682" i="15"/>
  <c r="V329" i="17"/>
  <c r="A477" i="15"/>
  <c r="V121" i="17" l="1"/>
  <c r="A273" i="15"/>
  <c r="V957" i="17"/>
  <c r="A1093" i="15"/>
  <c r="A888" i="15"/>
  <c r="V748" i="17"/>
  <c r="A683" i="15"/>
  <c r="V539" i="17"/>
  <c r="V330" i="17"/>
  <c r="A478" i="15"/>
  <c r="A274" i="15" l="1"/>
  <c r="V122" i="17"/>
  <c r="V958" i="17"/>
  <c r="A1094" i="15"/>
  <c r="V749" i="17"/>
  <c r="A889" i="15"/>
  <c r="V540" i="17"/>
  <c r="A684" i="15"/>
  <c r="V331" i="17"/>
  <c r="A479" i="15"/>
  <c r="V123" i="17" l="1"/>
  <c r="A275" i="15"/>
  <c r="A1095" i="15"/>
  <c r="V959" i="17"/>
  <c r="V750" i="17"/>
  <c r="A890" i="15"/>
  <c r="V541" i="17"/>
  <c r="A685" i="15"/>
  <c r="A480" i="15"/>
  <c r="V332" i="17"/>
  <c r="A276" i="15" l="1"/>
  <c r="V124" i="17"/>
  <c r="A1096" i="15"/>
  <c r="V960" i="17"/>
  <c r="V751" i="17"/>
  <c r="A891" i="15"/>
  <c r="V542" i="17"/>
  <c r="A686" i="15"/>
  <c r="A481" i="15"/>
  <c r="V333" i="17"/>
  <c r="V125" i="17" l="1"/>
  <c r="A277" i="15"/>
  <c r="V961" i="17"/>
  <c r="A1097" i="15"/>
  <c r="A892" i="15"/>
  <c r="V752" i="17"/>
  <c r="V543" i="17"/>
  <c r="A687" i="15"/>
  <c r="V334" i="17"/>
  <c r="A482" i="15"/>
  <c r="A278" i="15" l="1"/>
  <c r="V127" i="17"/>
  <c r="V963" i="17"/>
  <c r="V1050" i="17" s="1"/>
  <c r="A1098" i="15"/>
  <c r="V754" i="17"/>
  <c r="A893" i="15"/>
  <c r="A688" i="15"/>
  <c r="V545" i="17"/>
  <c r="V336" i="17"/>
  <c r="A483" i="15"/>
</calcChain>
</file>

<file path=xl/sharedStrings.xml><?xml version="1.0" encoding="utf-8"?>
<sst xmlns="http://schemas.openxmlformats.org/spreadsheetml/2006/main" count="24982" uniqueCount="3462">
  <si>
    <t>Morgan</t>
  </si>
  <si>
    <t>Noble</t>
  </si>
  <si>
    <t>Vinton</t>
  </si>
  <si>
    <t>Washington</t>
  </si>
  <si>
    <t>District 11</t>
  </si>
  <si>
    <t>Belmont</t>
  </si>
  <si>
    <t>Carroll</t>
  </si>
  <si>
    <t>Columbiana</t>
  </si>
  <si>
    <t>Harrison</t>
  </si>
  <si>
    <t>Holmes</t>
  </si>
  <si>
    <t>Jefferson</t>
  </si>
  <si>
    <t>Tuscarawas</t>
  </si>
  <si>
    <t>District 12</t>
  </si>
  <si>
    <t>Cuyahoga</t>
  </si>
  <si>
    <t>Geauga</t>
  </si>
  <si>
    <t>Lake</t>
  </si>
  <si>
    <t xml:space="preserve">Do you require a minimum tonnage per delivery?  </t>
  </si>
  <si>
    <t>If you marked yes, specify minimum tonnage per delivery (in Tons)</t>
  </si>
  <si>
    <t>Yes</t>
  </si>
  <si>
    <t>No</t>
  </si>
  <si>
    <r>
      <t xml:space="preserve">If you marked yes, specify minimum tonnage per delivery </t>
    </r>
    <r>
      <rPr>
        <b/>
        <sz val="10"/>
        <rFont val="Arial"/>
        <family val="2"/>
      </rPr>
      <t>(In Tons)</t>
    </r>
  </si>
  <si>
    <r>
      <t xml:space="preserve">See Freight </t>
    </r>
    <r>
      <rPr>
        <b/>
        <i/>
        <u/>
        <sz val="10"/>
        <rFont val="Arial"/>
        <family val="2"/>
      </rPr>
      <t>Rates per Ton -Mile Example</t>
    </r>
    <r>
      <rPr>
        <b/>
        <sz val="10"/>
        <rFont val="Arial"/>
        <family val="2"/>
      </rPr>
      <t xml:space="preserve"> on next page</t>
    </r>
  </si>
  <si>
    <r>
      <t xml:space="preserve">If you marked yes, specify minimum tonnage per delivery  </t>
    </r>
    <r>
      <rPr>
        <b/>
        <sz val="10"/>
        <rFont val="Arial"/>
        <family val="2"/>
      </rPr>
      <t>(In Tons)</t>
    </r>
  </si>
  <si>
    <t>Transport salt from one ODOT storage location to another ODOT storage location  (Per Ton Mile)</t>
  </si>
  <si>
    <t>Vendor Name</t>
  </si>
  <si>
    <t>Plant Name</t>
  </si>
  <si>
    <r>
      <t xml:space="preserve">Orders for delivered material to any destination specified will be made within </t>
    </r>
    <r>
      <rPr>
        <b/>
        <u/>
        <sz val="10"/>
        <rFont val="Arial"/>
        <family val="2"/>
      </rPr>
      <t>14</t>
    </r>
    <r>
      <rPr>
        <b/>
        <sz val="10"/>
        <rFont val="Arial"/>
        <family val="2"/>
      </rPr>
      <t xml:space="preserve"> </t>
    </r>
    <r>
      <rPr>
        <sz val="10"/>
        <rFont val="Arial"/>
        <family val="2"/>
      </rPr>
      <t xml:space="preserve">calendar days after notification by the Department of Transportation. The delivery quoted applies to unspecified, specified, and any other destination.  </t>
    </r>
  </si>
  <si>
    <t>Have you facilities for loading trucks with loader or out of bins at your plant?</t>
  </si>
  <si>
    <t>Counties</t>
  </si>
  <si>
    <t>Type D</t>
  </si>
  <si>
    <t>100% passing 1/2" sieve</t>
  </si>
  <si>
    <t>Unit of Measure is English Ton</t>
  </si>
  <si>
    <t>VN</t>
  </si>
  <si>
    <t>PN</t>
  </si>
  <si>
    <t>PSC</t>
  </si>
  <si>
    <t>ADDR</t>
  </si>
  <si>
    <t>CSZ</t>
  </si>
  <si>
    <t>CTY</t>
  </si>
  <si>
    <t>CONTACT</t>
  </si>
  <si>
    <t>PHONE</t>
  </si>
  <si>
    <t>MILES</t>
  </si>
  <si>
    <t>AMOUNT</t>
  </si>
  <si>
    <t>PERT</t>
  </si>
  <si>
    <t>You Must Select a Plant from the List</t>
  </si>
  <si>
    <t xml:space="preserve"> -</t>
  </si>
  <si>
    <t>Y/N</t>
  </si>
  <si>
    <t>Dump Rock</t>
  </si>
  <si>
    <t>4505 Atlantic Blvd. NE, Canton, Intersection of  US 62 &amp; Atlantic</t>
  </si>
  <si>
    <t>Sunbury OP, Morning St., Sunbury</t>
  </si>
  <si>
    <t>Sharonville OP, 11900 Chesterdale Rd.,  Cincinnati</t>
  </si>
  <si>
    <t>No.1 Material and Smaller  (for the First 5 Miles of the Haul Distance)</t>
  </si>
  <si>
    <t>No.1 material and smaller (for the Haul Distance from Mile 5 to the Destination)</t>
  </si>
  <si>
    <t>Dump Rock Fill Material (for the First 5 Miles of the Haul Distance)</t>
  </si>
  <si>
    <t>Dump Rock Fill Material (for the Haul Distance from Mile 5 to the Destination)</t>
  </si>
  <si>
    <t>Tyler Corporation</t>
  </si>
  <si>
    <t>ODOT, District 11, Tuscarawas County needs 40 tons of Number 57 aggregate delivered to a remote sight 30 miles from the Parker Aggregate Inc plant.</t>
  </si>
  <si>
    <t>PLANT INFORMATION</t>
  </si>
  <si>
    <t>The freight rate charges are calculated as follows:  
  (Freight charge for Miles 1 through 5) + (Freight charge for Mile 5 through 30) = Total Freight Charge
  (40 tons) x ($3.00/ton) + (40 tons) x ($.25/ton-mile) x (25 miles) = $370.00</t>
  </si>
  <si>
    <t>Aggregate (304)</t>
  </si>
  <si>
    <t>Traffic Bound &amp; Berm Aggregate (TBA) 617</t>
  </si>
  <si>
    <t>Stabilized Crushed Aggregate (411)</t>
  </si>
  <si>
    <t xml:space="preserve">Vendor Name </t>
  </si>
  <si>
    <t xml:space="preserve">Plant Name </t>
  </si>
  <si>
    <t xml:space="preserve">* PS Code of the pit or mine location (See ITB Section 4.2) </t>
  </si>
  <si>
    <t xml:space="preserve">City, State &amp; Zip of Plant Location </t>
  </si>
  <si>
    <t xml:space="preserve">Plant Contact Name </t>
  </si>
  <si>
    <t xml:space="preserve">Plant Telephone Number </t>
  </si>
  <si>
    <t xml:space="preserve">Miles N, E, S or W of City of </t>
  </si>
  <si>
    <t xml:space="preserve">Daily Capacity of Plant in Tons </t>
  </si>
  <si>
    <t xml:space="preserve">Capacity of Bins </t>
  </si>
  <si>
    <t xml:space="preserve">Loading Facilities </t>
  </si>
  <si>
    <t xml:space="preserve">Truck Scales </t>
  </si>
  <si>
    <t xml:space="preserve">Amount and size of material available in stock pile </t>
  </si>
  <si>
    <t xml:space="preserve">List any other pertinent information that might be of interest to the Department </t>
  </si>
  <si>
    <t>Data</t>
  </si>
  <si>
    <t>Header</t>
  </si>
  <si>
    <t>Base</t>
  </si>
  <si>
    <t>Fine Aggregate</t>
  </si>
  <si>
    <t>Type</t>
  </si>
  <si>
    <t>Stone</t>
  </si>
  <si>
    <t>Slag*</t>
  </si>
  <si>
    <t>Gravel</t>
  </si>
  <si>
    <t>Dump Rock Fill</t>
  </si>
  <si>
    <t>Material Specifications</t>
  </si>
  <si>
    <t>Type A</t>
  </si>
  <si>
    <t>Type B</t>
  </si>
  <si>
    <t>Type C</t>
  </si>
  <si>
    <t>No. 1</t>
  </si>
  <si>
    <t>No. 2</t>
  </si>
  <si>
    <t>No. 4</t>
  </si>
  <si>
    <t>No. 467</t>
  </si>
  <si>
    <t>No. 57</t>
  </si>
  <si>
    <t>No. 6</t>
  </si>
  <si>
    <t>No. 67</t>
  </si>
  <si>
    <t>No. 8</t>
  </si>
  <si>
    <t>No. 9</t>
  </si>
  <si>
    <t>Description</t>
  </si>
  <si>
    <t>*SLAG           Air-cooled electric slag meeting the physical requirements of these designating numbers will be acceptable, provided that the bidder clearly indicated in the appropriate schedule above that he proposes to furnish this type slag.  2700 lbs. of air -cooled electric furnace slag shall constitute one cubic yard.</t>
  </si>
  <si>
    <t>Vendor Name:</t>
  </si>
  <si>
    <t>Plant Name:</t>
  </si>
  <si>
    <t>Quote actual freight rates per ton-mile on full truckload shipments of material from your plant to an unspecified destination point identified.  All vehicles delivering materials shall comply with current Ohio Weight Law (See O.R.C. §5577.04).</t>
  </si>
  <si>
    <r>
      <t xml:space="preserve">RATES  </t>
    </r>
    <r>
      <rPr>
        <b/>
        <sz val="10"/>
        <rFont val="Arial"/>
        <family val="2"/>
      </rPr>
      <t>(LOAD, HAUL AND STOCKPILE OR SPREAD</t>
    </r>
    <r>
      <rPr>
        <sz val="10"/>
        <rFont val="Arial"/>
        <family val="2"/>
      </rPr>
      <t>, (</t>
    </r>
    <r>
      <rPr>
        <u/>
        <sz val="10"/>
        <rFont val="Arial"/>
        <family val="2"/>
      </rPr>
      <t>ONE-WAY</t>
    </r>
    <r>
      <rPr>
        <sz val="10"/>
        <rFont val="Arial"/>
        <family val="2"/>
      </rPr>
      <t xml:space="preserve">, FROM PLANT TO DESTINATION, </t>
    </r>
    <r>
      <rPr>
        <u/>
        <sz val="10"/>
        <rFont val="Arial"/>
        <family val="2"/>
      </rPr>
      <t>ONLY</t>
    </r>
    <r>
      <rPr>
        <sz val="10"/>
        <rFont val="Arial"/>
        <family val="2"/>
      </rPr>
      <t>)</t>
    </r>
  </si>
  <si>
    <t>Do you require a minimum tonnage per delivery?</t>
  </si>
  <si>
    <t>A department representative will notify the vendor where to deliver the material and what miles (to the next whole number) to record on the weight ticket.  The vendor will take the most direct route, shortest distance, from the plant to the destination.  The Department reserves the right to specify the haul route.</t>
  </si>
  <si>
    <t xml:space="preserve">Updated:  </t>
  </si>
  <si>
    <r>
      <t xml:space="preserve">Orders for delivered material to any destination specified will be made within </t>
    </r>
    <r>
      <rPr>
        <b/>
        <u/>
        <sz val="10"/>
        <rFont val="Arial"/>
        <family val="2"/>
      </rPr>
      <t xml:space="preserve">14 </t>
    </r>
    <r>
      <rPr>
        <sz val="10"/>
        <rFont val="Arial"/>
        <family val="2"/>
      </rPr>
      <t xml:space="preserve"> calendar days after notification by the Department of Transportation. The delivery quoted applies to unspecified, specified, and any other destination.  </t>
    </r>
  </si>
  <si>
    <t>All deliveries shall be made between the hours of 8:00 a.m. and 3:30 p.m. (Monday through Friday) not including State Holidays unless special permission is granted by the Department to temporarily waive or adjust this requirement.</t>
  </si>
  <si>
    <t>Parker Aggregates Inc.</t>
  </si>
  <si>
    <t>District 1</t>
  </si>
  <si>
    <t>County</t>
  </si>
  <si>
    <t>Address</t>
  </si>
  <si>
    <t>Slag</t>
  </si>
  <si>
    <t>Sand</t>
  </si>
  <si>
    <t>Allen</t>
  </si>
  <si>
    <t>Defiance</t>
  </si>
  <si>
    <t>Hancock</t>
  </si>
  <si>
    <t>Hardin</t>
  </si>
  <si>
    <t>Paulding</t>
  </si>
  <si>
    <t>Putnam</t>
  </si>
  <si>
    <t>Van Wert</t>
  </si>
  <si>
    <t>Wyandot</t>
  </si>
  <si>
    <t>District 2</t>
  </si>
  <si>
    <t>Fulton</t>
  </si>
  <si>
    <t>Henry</t>
  </si>
  <si>
    <t>Lucas</t>
  </si>
  <si>
    <t>Ottawa</t>
  </si>
  <si>
    <t>307 S. Railroad St., Oak Harbor</t>
  </si>
  <si>
    <t>Sandusky</t>
  </si>
  <si>
    <t>Seneca</t>
  </si>
  <si>
    <t>3390 S. SR 100, Tiffin</t>
  </si>
  <si>
    <t>Williams</t>
  </si>
  <si>
    <t>1825 Magda Dr., Montpelier</t>
  </si>
  <si>
    <t>Wood</t>
  </si>
  <si>
    <t>200 Lemoyne Rd., Northwood</t>
  </si>
  <si>
    <t>District 3</t>
  </si>
  <si>
    <t>Ashland</t>
  </si>
  <si>
    <t>Crawford</t>
  </si>
  <si>
    <t>Erie</t>
  </si>
  <si>
    <t>Huron</t>
  </si>
  <si>
    <t>Lorain</t>
  </si>
  <si>
    <t>Medina</t>
  </si>
  <si>
    <t>Richland</t>
  </si>
  <si>
    <t>Wayne</t>
  </si>
  <si>
    <t>District 4</t>
  </si>
  <si>
    <t>Ashtabula</t>
  </si>
  <si>
    <t>Mahoning</t>
  </si>
  <si>
    <t>Portage</t>
  </si>
  <si>
    <t>Stark</t>
  </si>
  <si>
    <t>Summit</t>
  </si>
  <si>
    <t>Trumbull</t>
  </si>
  <si>
    <t>District 5</t>
  </si>
  <si>
    <t>Coshocton</t>
  </si>
  <si>
    <t>Fairfield</t>
  </si>
  <si>
    <t>Guernsey</t>
  </si>
  <si>
    <t>Knox</t>
  </si>
  <si>
    <t>Licking</t>
  </si>
  <si>
    <t>Muskingum</t>
  </si>
  <si>
    <t>Perry</t>
  </si>
  <si>
    <t>District 6</t>
  </si>
  <si>
    <t>Delaware</t>
  </si>
  <si>
    <t>Fayette</t>
  </si>
  <si>
    <t>Franklin</t>
  </si>
  <si>
    <t>Madison</t>
  </si>
  <si>
    <t>Marion</t>
  </si>
  <si>
    <t>Morrow</t>
  </si>
  <si>
    <t>Pickaway</t>
  </si>
  <si>
    <t>Union</t>
  </si>
  <si>
    <t>District 7</t>
  </si>
  <si>
    <t>Auglaize</t>
  </si>
  <si>
    <t>Champaign</t>
  </si>
  <si>
    <t>Clark</t>
  </si>
  <si>
    <t>Darke</t>
  </si>
  <si>
    <t>Logan</t>
  </si>
  <si>
    <t>Mercer</t>
  </si>
  <si>
    <t>Miami</t>
  </si>
  <si>
    <t>Montgomery</t>
  </si>
  <si>
    <t>Shelby</t>
  </si>
  <si>
    <t>District 8</t>
  </si>
  <si>
    <t>Butler</t>
  </si>
  <si>
    <t>Clermont</t>
  </si>
  <si>
    <t>Clinton</t>
  </si>
  <si>
    <t>Greene</t>
  </si>
  <si>
    <t>Hamilton</t>
  </si>
  <si>
    <t>Preble</t>
  </si>
  <si>
    <t>Warren</t>
  </si>
  <si>
    <t>District 9</t>
  </si>
  <si>
    <t>Adams</t>
  </si>
  <si>
    <t>Brown</t>
  </si>
  <si>
    <t>Highland</t>
  </si>
  <si>
    <t>Jackson</t>
  </si>
  <si>
    <t>Lawrence</t>
  </si>
  <si>
    <t>Pike</t>
  </si>
  <si>
    <t>Ross</t>
  </si>
  <si>
    <t>Scioto</t>
  </si>
  <si>
    <t>District 10</t>
  </si>
  <si>
    <t>Athens</t>
  </si>
  <si>
    <t>Gallia</t>
  </si>
  <si>
    <t>Hocking</t>
  </si>
  <si>
    <t>Meigs</t>
  </si>
  <si>
    <t>Monroe</t>
  </si>
  <si>
    <t>No.1 Material and Smaller  (for the First 5 Miles of the Haul Distance (Per Ton)</t>
  </si>
  <si>
    <t>No.1 material and smaller for the Haul Distance from Mile 5 to the Destination (Per Ton Mile)</t>
  </si>
  <si>
    <r>
      <t xml:space="preserve">If you marked yes, specify minimum tonnage per delivery </t>
    </r>
    <r>
      <rPr>
        <b/>
        <sz val="10"/>
        <rFont val="Arial"/>
        <family val="2"/>
      </rPr>
      <t>(in Tons)</t>
    </r>
  </si>
  <si>
    <t>Dump Rock Fill Material (for the First 5 Miles of the Haul Distance (Per Ton)</t>
  </si>
  <si>
    <t>Dump Rock Fill Material for the Haul Distance from Mile 5 to the Destination (Per Ton Mile)</t>
  </si>
  <si>
    <t>Quote actual freight rates for shipment of material from your plant to an unspecified destination point to be identified later.  All vehicles delivering materials shall comply with current Ohio Weight Law (See O.R.C. §5577.04).</t>
  </si>
  <si>
    <t>B-703.19.B.2</t>
  </si>
  <si>
    <t>A-703.19.B.1</t>
  </si>
  <si>
    <t>C-703.19.B.3</t>
  </si>
  <si>
    <t>D-703.19.B.4</t>
  </si>
  <si>
    <t xml:space="preserve">Limestone-Spec. 703.17  </t>
  </si>
  <si>
    <t>Slag-Spec. 703.17</t>
  </si>
  <si>
    <t>CR Gravel-Spec. 703.17</t>
  </si>
  <si>
    <t>Gran. Slag-Spec. 703.08</t>
  </si>
  <si>
    <t>Natural Sand-Spec. 703.02</t>
  </si>
  <si>
    <t>Natural Sand-Spec. 703.03</t>
  </si>
  <si>
    <t>Crushed Stone-Spec. 703.03</t>
  </si>
  <si>
    <t>Crushed Slag-Spec. 703.03</t>
  </si>
  <si>
    <t>Natural Sand-Spec. 703.05</t>
  </si>
  <si>
    <t>Crushed Stone-Spec. 703.05</t>
  </si>
  <si>
    <t>Crushed Gravel-Spec. 703.05</t>
  </si>
  <si>
    <t>Crushed Slag-Spec. 703.05</t>
  </si>
  <si>
    <t>Crushed Stone-Spec. 703.10</t>
  </si>
  <si>
    <t>Crushed Slag-Spec. 703.10</t>
  </si>
  <si>
    <t xml:space="preserve">Crushed Stone-Spec. 703.02    </t>
  </si>
  <si>
    <t>Crushed Gravel-Spec. 703.10</t>
  </si>
  <si>
    <t>Limestone-Spec.  703.18</t>
  </si>
  <si>
    <t>Slag-Spec. 703.18</t>
  </si>
  <si>
    <t>Gravel-Spec. 703.18</t>
  </si>
  <si>
    <t>5 K Slag Company - 04393/01 - Youngstown</t>
  </si>
  <si>
    <t>Acme Company - No-02 - Youngstown</t>
  </si>
  <si>
    <t>Acme Company - No-03 - North Jackson</t>
  </si>
  <si>
    <t>Allega Recycled Material &amp; Supply Co. - 05151/01 - Valley View</t>
  </si>
  <si>
    <t>Allega Recycled Material &amp; Supply Co., Inc. - 05150/01 - Painesville</t>
  </si>
  <si>
    <t>Allega Recycled Material &amp; Supply Co., Inc. - 05152/01 - Cleveland</t>
  </si>
  <si>
    <t>Allegheny Mineral Corp. - 04376/01 - Slippery Rock</t>
  </si>
  <si>
    <t>Allegheny Mineral Corp. - 04385/01 - Harrisville</t>
  </si>
  <si>
    <t>Allied Corporation - 04339/01 - Massillon</t>
  </si>
  <si>
    <t>American Sand &amp; Gravel - 04303/01 - Massillon</t>
  </si>
  <si>
    <t>American Sand &amp; Gravel - 04381/01 - Jackson Twp.</t>
  </si>
  <si>
    <t>Arch Materials, LLC - 04791/01 - Batavia</t>
  </si>
  <si>
    <t>Area Aggregates LLC - 04163/01 - Woodville</t>
  </si>
  <si>
    <t>Area Aggregates LLC - 4163A/01 - Woodville</t>
  </si>
  <si>
    <t>B T Materials, Inc. - 04946/01 - Nelsonville</t>
  </si>
  <si>
    <t>Baker Sand, Inc. - 04210/01 - Burbank</t>
  </si>
  <si>
    <t>Ballentine Sand &amp; Gravel - 04378/01 - Ravenna</t>
  </si>
  <si>
    <t>Barrett Paving Materials - 04624/01 - Sidney</t>
  </si>
  <si>
    <t>Barrett Paving Materials Inc. - 04613/01 - Miamisburg</t>
  </si>
  <si>
    <t>Barrett Paving Materials Inc. - 04621/01 - Sidney</t>
  </si>
  <si>
    <t>Barrett Paving Materials Inc. - 04623/01 - Sidney</t>
  </si>
  <si>
    <t>Barrett Paving Materials Inc. - 4625A/01 - Sidney</t>
  </si>
  <si>
    <t>Barrett Paving Materials, Inc. - 04608/01 - Fairborn</t>
  </si>
  <si>
    <t>Barrett Paving Materials, Inc. - 04609/01 - Lulow Falls</t>
  </si>
  <si>
    <t>Barrett Paving Materials, Inc. - 04743/01 - Fairborn</t>
  </si>
  <si>
    <t>Barrett Paving Materials, Inc. - 4608A/01 - Fairborn</t>
  </si>
  <si>
    <t>Barrett Paving Materials, Inc. - 04747/01 - Richmond</t>
  </si>
  <si>
    <t>BCE Materials, Inc. - 04803/01 - Wheelersburg</t>
  </si>
  <si>
    <t>Beck Sand &amp; Gravel, Inc. - 04305/01 - Ravenna</t>
  </si>
  <si>
    <t>Belpre Sand &amp; Gravel Co. - 04950/01 - Little Hocking</t>
  </si>
  <si>
    <t>Bluffton Stone Co. - 04001/01 - Bluffton</t>
  </si>
  <si>
    <t>Bowman, D. H., &amp; Sons - 04222/01 - Bellville</t>
  </si>
  <si>
    <t>Boyas Excavating, Inc. - 05146/01 - Valley View</t>
  </si>
  <si>
    <t>Brier Hill Slag - 04348/01 - Youngstown</t>
  </si>
  <si>
    <t>Brookside Materials, LLC - 04430/01 - Alexandria</t>
  </si>
  <si>
    <t>Brugmann Sd. &amp; Gr., Oscar - 04306/01 - Mantua</t>
  </si>
  <si>
    <t>Canton Aggregates - 04307/01 - Canton</t>
  </si>
  <si>
    <t>Cardinal Aggregate, Inc. - 04158/01 - Perrysburg</t>
  </si>
  <si>
    <t>Central Aggregate - 04358/01 - Massillon</t>
  </si>
  <si>
    <t>Chesterville Sand &amp; Gravel, Inc. - 04521/01 - Chesterville</t>
  </si>
  <si>
    <t>Christman Quarry - 04918/01 - Lewisville</t>
  </si>
  <si>
    <t>City Stone - No-49 - Youngstown</t>
  </si>
  <si>
    <t>City Stone Sandstone - 04328/01 - Milton Township</t>
  </si>
  <si>
    <t>Clay Center Quarry - 04116/01 - Clay Center</t>
  </si>
  <si>
    <t>Cleveland Slag Plant - 05147/01 - Cleveland</t>
  </si>
  <si>
    <t>Clinton Stone, Inc. - 4907A/01 - Wellston</t>
  </si>
  <si>
    <t>Cochran Transportation Service, Inc. - 04924/01 - Athens</t>
  </si>
  <si>
    <t>Complete Resources Company - 04537/01 - Columbus</t>
  </si>
  <si>
    <t>Con-Ag Inc. - 04632/01 - St. Mary's</t>
  </si>
  <si>
    <t>Conneaut Lake Sd. &amp; Gr. - 04341/01 - Conneaut Lake</t>
  </si>
  <si>
    <t>Cruise, R.A. Sd. &amp; Gr. - 04340/01 - Ravenna</t>
  </si>
  <si>
    <t>CTE Sand &amp; Gravel - 04130/01 - Tecumseh</t>
  </si>
  <si>
    <t>Cumberland  Limestone,  LLC - 04418/01 - Cumberland</t>
  </si>
  <si>
    <t>Custar Stone Company - 04113/01 - Custar</t>
  </si>
  <si>
    <t>Custar Stone Company - 4113A/01 - Custar</t>
  </si>
  <si>
    <t>Cuyahoga Road Products - No-04 - Cleveland</t>
  </si>
  <si>
    <t>D &amp; K Materials, Inc. - 04397/01 - Brimfield</t>
  </si>
  <si>
    <t>Diamond Stone - No-48 - McArthur</t>
  </si>
  <si>
    <t>DSF, Ltd. - 04383/01 - Sharpsville</t>
  </si>
  <si>
    <t>Duff Quarry Inc. - 04638/01 - Huntsville</t>
  </si>
  <si>
    <t>East Fairfield Coal Co. - 04364/01 - Petersburg</t>
  </si>
  <si>
    <t>Enon Sand &amp; Gravel - 04611/01 - Enon</t>
  </si>
  <si>
    <t>Erie Materials - 04206/01 - Sandusky</t>
  </si>
  <si>
    <t>Ervin Hill Enterprises Inc. - 04839/01 - Hillsboro</t>
  </si>
  <si>
    <t>Feikert Sand &amp; Gravel Inc. - 05009/01 - Fredericksburg</t>
  </si>
  <si>
    <t>Fulton Mill Service - 04147/01 - Delta</t>
  </si>
  <si>
    <t>Fulton Mill Services - 4147A/01 - Delta</t>
  </si>
  <si>
    <t>Glacial Sand &amp; Gravel - 04156/01 - Jonesville</t>
  </si>
  <si>
    <t>Glacial Sand &amp; Gravel - 4156A/01 - Jonesville</t>
  </si>
  <si>
    <t>Harrison Stone Yard - No-51 - Harrison</t>
  </si>
  <si>
    <t>Haueter Sand &amp; Gravel - 05110/01 - Newbury</t>
  </si>
  <si>
    <t>Hillsdale Sand &amp; Gravel, Inc. - 04120/01 - Waldron</t>
  </si>
  <si>
    <t>Hillsdale Sand &amp; Gravel, Inc. - 4120A/01 - Waldron</t>
  </si>
  <si>
    <t>Hilltop Basic Resources - 4719A/01 - Patriot</t>
  </si>
  <si>
    <t>Hilltop Basic Resources Inc. - 04783/01 - Butler</t>
  </si>
  <si>
    <t>Hilltop Basic Resources, Inc. - No-06 - Cincinnati</t>
  </si>
  <si>
    <t>Hilltop Basic Resources, Inc. - No-07 - Cincinnati</t>
  </si>
  <si>
    <t>Hilltop Basic Resources, Inc. - 04719/01 - Patriot</t>
  </si>
  <si>
    <t>Hilltop Big Bend Quarry, LLC - 04771/01 - Battletown</t>
  </si>
  <si>
    <t>Hocking Valley Concrete, Inc. - 04927/01 - Logan</t>
  </si>
  <si>
    <t>Holmes Readimix, Inc. - 05017/01 - Millersburg</t>
  </si>
  <si>
    <t>Holmes Supply Corporation - 05057/01 - Holmesville</t>
  </si>
  <si>
    <t>Hugo Sand Company - 04315/01 - Kent</t>
  </si>
  <si>
    <t>Irving Gravel Co., Inc. - 04161/01 - Angola</t>
  </si>
  <si>
    <t>Irving Gravel Co., Inc. - 04162/01 - Wolcottville</t>
  </si>
  <si>
    <t>Irving Materials, Inc. - 04750/01 - Connersville</t>
  </si>
  <si>
    <t>J.D. Mining, Inc. - 05064/01 - Magnolia</t>
  </si>
  <si>
    <t>Jefferson Materials - 04316/01 - Streetsboro</t>
  </si>
  <si>
    <t>K.C.I.  Sand &amp; Gravel Inc. - 04953/01 - Logan</t>
  </si>
  <si>
    <t>Kenmore  Asphalt Products - No-08 - Cleveland</t>
  </si>
  <si>
    <t>Kimble Clay &amp; Limestone - 05016/01 - Dover</t>
  </si>
  <si>
    <t>Kimble Clay &amp; Limestone - 05068/01 - E. Sparta</t>
  </si>
  <si>
    <t>Kimble Clay &amp; Limestone - 05070/01 - New Philadelphia</t>
  </si>
  <si>
    <t>Kinsman Materials, Ltd. - 04387/01 - Kinsman</t>
  </si>
  <si>
    <t>Kirby Sand &amp; Gravel - 04023/01 - Upper Sandusky</t>
  </si>
  <si>
    <t>KMI Yard - No-46 - Columbia Station</t>
  </si>
  <si>
    <t>Kurtz Brothers Inc. - 05149/01 - Brook Park</t>
  </si>
  <si>
    <t>Lafarge North America - No-29 - Lorain</t>
  </si>
  <si>
    <t>Lafarge North America - No-10 - Twinsburg</t>
  </si>
  <si>
    <t>Lafarge North America - No-11 - Lordstown</t>
  </si>
  <si>
    <t>Lafarge North America - No-13 - Alliance</t>
  </si>
  <si>
    <t>Lafarge North America - 04347/01 - Warren</t>
  </si>
  <si>
    <t>Lafarge North America - 04354/01 - Warren</t>
  </si>
  <si>
    <t>Lafarge North America - 04363/01 - West Mifflin</t>
  </si>
  <si>
    <t>Lafarge North America - 04372/01 - Petersburg</t>
  </si>
  <si>
    <t>Lafarge North America - 04390/01 - Mantua</t>
  </si>
  <si>
    <t>Lafarge North America - No-24 - Cleveland</t>
  </si>
  <si>
    <t>Lafarge North America - No-43 - Cleveland</t>
  </si>
  <si>
    <t>Lafarge North America - 04105/01 - Marblehead</t>
  </si>
  <si>
    <t>Lafarge North America Inc. - 4354B/01 - Warren</t>
  </si>
  <si>
    <t>Lakeland Sd &amp; Gr, Inc. - 04319/01 - Hartstown</t>
  </si>
  <si>
    <t>Lakeside Sd &amp; Gr, Inc. - 04320/01 - Mantua</t>
  </si>
  <si>
    <t>Latham Stone Inc. - 04818/01 - Latham</t>
  </si>
  <si>
    <t>Lehigh Hanson - 04002/01 - Paulding</t>
  </si>
  <si>
    <t>Lehigh Hanson - 04025/01 - Woodburn</t>
  </si>
  <si>
    <t>Lehigh Hanson - 4002A/01 - Paulding</t>
  </si>
  <si>
    <t>Lehigh Hanson - 04110/01 - Waterville</t>
  </si>
  <si>
    <t>Lehigh Hanson - 04111/01 - Sylvania</t>
  </si>
  <si>
    <t>Lehigh Hanson - 04112/01 - Flat Rock</t>
  </si>
  <si>
    <t>Lehigh Hanson - 04114/01 - Bloomville</t>
  </si>
  <si>
    <t>Lehigh Hanson - 04139/01 - Angola</t>
  </si>
  <si>
    <t>Lehigh Hanson - 4205A/01 - Castalia</t>
  </si>
  <si>
    <t>Lehigh Hanson - 4205B/01 - Castalia</t>
  </si>
  <si>
    <t>Lehigh Hanson - 4205C/01 - Castalia</t>
  </si>
  <si>
    <t>Lehigh Hanson - 4205D/01 - Castalia</t>
  </si>
  <si>
    <t>Lehigh Hanson - No-05 - Batavia</t>
  </si>
  <si>
    <t>Lehigh Hanson - 04772/01 - Cleves</t>
  </si>
  <si>
    <t>Lehigh Hanson - 4772A/01 - Cleves</t>
  </si>
  <si>
    <t>Lehigh Hanson - 04808/01 - Lucasville</t>
  </si>
  <si>
    <t>Lehigh Hanson - 04811/01 - Piketon</t>
  </si>
  <si>
    <t>Lehigh Hanson - 04815/01 - Hillsboro</t>
  </si>
  <si>
    <t>Lehigh Hanson - 04820/01 - Peebles</t>
  </si>
  <si>
    <t>Lehigh Hanson - 04833/01 - Winchester</t>
  </si>
  <si>
    <t>Lehigh Hanson - 04837/01 - Grayson</t>
  </si>
  <si>
    <t>Lehigh Hanson Aggregates - 04776/01 - Versailles</t>
  </si>
  <si>
    <t>Lehigh Hanson Aggregates - 05049/01 - Coraopolis</t>
  </si>
  <si>
    <t>Letart Corporation Plt. # 1 - 04912/01 - Gallipolis Ferry</t>
  </si>
  <si>
    <t>M. J. Coates Construction - 04790/01 - Spring Valley</t>
  </si>
  <si>
    <t>Marble Cliff, Inc. - 04504/01 - Hilliard</t>
  </si>
  <si>
    <t>Martin Marietta Aggregates - 04106/01 - Woodville</t>
  </si>
  <si>
    <t>Martin Marietta Aggregates - 04601/01 - Medway</t>
  </si>
  <si>
    <t>Martin Marietta Aggregates - 04604/01 - Brookville</t>
  </si>
  <si>
    <t>Martin Marietta Aggregates - 04607/01 - Troy</t>
  </si>
  <si>
    <t>Martin Marietta Aggregates - No-16 - Cincinnati</t>
  </si>
  <si>
    <t>Martin Marietta Aggregates - 04703/01 - Fairfield</t>
  </si>
  <si>
    <t>Martin Marietta Aggregates - 04705/01 - Franklin</t>
  </si>
  <si>
    <t>Martin Marietta Aggregates - 04706/01 - Harrison</t>
  </si>
  <si>
    <t>Martin Marietta Aggregates - 04715/01 - Ross</t>
  </si>
  <si>
    <t>Martin Marietta Aggregates - 04737/01 - Cedarville</t>
  </si>
  <si>
    <t>Martin Marietta Aggregates - 04749/01 - North Bend</t>
  </si>
  <si>
    <t>Martin Marietta Aggregates - 04780/01 - Lebanon</t>
  </si>
  <si>
    <t>Martin Marietta Aggregates - 04782/01 - Petersburg</t>
  </si>
  <si>
    <t>Martin Marietta Aggregates - 04784/01 - Spring Valley</t>
  </si>
  <si>
    <t>Martin Marietta Aggregates - 4703A/01 - Fairfield</t>
  </si>
  <si>
    <t>Martin Marietta Aggregates - 04785/01 - Sabina</t>
  </si>
  <si>
    <t>Martin Marietta Aggregates - No-14 - Parkersburg</t>
  </si>
  <si>
    <t>Martin Marietta Aggregates - No-17 - Ravenswood</t>
  </si>
  <si>
    <t>Martin Marietta Aggregates - No-39 - New Martinsville</t>
  </si>
  <si>
    <t>Martin Marietta Aggregates - 04954/01 - Petroleum</t>
  </si>
  <si>
    <t>Martin Marietta Aggregates - No-15 - Tiltonsville</t>
  </si>
  <si>
    <t>Martin Marietta Agregates - 04915/01 - Racine</t>
  </si>
  <si>
    <t>Mar-Zane Materials - No-56 - Bethesda</t>
  </si>
  <si>
    <t>Mar-Zane Materials Aggregate Division - 04212/01 - Perrysville</t>
  </si>
  <si>
    <t>Mar-Zane Materials Aggregate Division - 04373/01 - Ravenna</t>
  </si>
  <si>
    <t>Mar-Zane Materials Aggregate Division - 04416/01 - Zanesville</t>
  </si>
  <si>
    <t>Mar-Zane Materials Aggregate Division - 4416A/01 - Zanesville</t>
  </si>
  <si>
    <t>Mar-Zane Materials Aggregate Division - 04807/01 - Chillicothe</t>
  </si>
  <si>
    <t>Mar-Zane Materials Aggregate Division - 4807A/01 - Chillicothe</t>
  </si>
  <si>
    <t>Mar-Zane Materials Aggregate Division - No-44 - McMechen</t>
  </si>
  <si>
    <t>Mar-Zane Materials Aggregate Division - No-45 - Marietta</t>
  </si>
  <si>
    <t>Mar-Zane Materials Aggregate Division - 04903/01 - Haydensville</t>
  </si>
  <si>
    <t>Mar-Zane Materials, Inc. - 04959/01 - Logan</t>
  </si>
  <si>
    <t>Massillon Materials Inc. - 04352/01 - Massillon</t>
  </si>
  <si>
    <t>Massillon Materials Inc. - 04379/01 - Massillon</t>
  </si>
  <si>
    <t>Massillon Washed Gravel - 04322/01 - Navarre</t>
  </si>
  <si>
    <t>Maxville Quarries, Inc - 04412/01 - Logan</t>
  </si>
  <si>
    <t>Mechanicsburg Sand &amp; Gravel, Inc. - 04637/01 - Mechanicsburg</t>
  </si>
  <si>
    <t>Melvin Stone Company - 04511/01 - New Holland</t>
  </si>
  <si>
    <t>Melvin Stone Company - 04526/01 - Circleville</t>
  </si>
  <si>
    <t>Melvin Stone Company - 4526A/01 - Circleville</t>
  </si>
  <si>
    <t>Melvin Stone Company - 04721/01 - Wilmington</t>
  </si>
  <si>
    <t>Melvin Stone Company - 04777/01 - Sabina</t>
  </si>
  <si>
    <t>Melvin Stone Company - 04836/01 - Washington Court House</t>
  </si>
  <si>
    <t>Meshberger Brothers Stone Corp. - 04005/01 - Decatur</t>
  </si>
  <si>
    <t>Meshberger Brothers Stone Corp. - 04031/01 - Berne</t>
  </si>
  <si>
    <t>Meshberger Brothers Stone Corp. - 04032/01 - Portland</t>
  </si>
  <si>
    <t>Meshberger Brothers Stone Corp. - 04033/01 - Ridgeville</t>
  </si>
  <si>
    <t>MGQ, Inc. - 04104/01 - Millersville</t>
  </si>
  <si>
    <t>MGQ, Inc. - 04107/01 - Tiffin</t>
  </si>
  <si>
    <t>Mid-Ohio Resources - 04228/01 - Bellville</t>
  </si>
  <si>
    <t>Midvale Sand &amp; Gravel - 05029/01 - New Philadelphia</t>
  </si>
  <si>
    <t>Midvale Sand &amp; Gravel - 5029A/01 - New Philadelphia</t>
  </si>
  <si>
    <t>Midwest Terminals of Toledo Intl., Inc. - No-54 - Toledo</t>
  </si>
  <si>
    <t>Miller Brothers Gravel Inc. - 04614/01 - Vandalia</t>
  </si>
  <si>
    <t>Mineral Trading Company, LLC - 05044/01 - Jewett</t>
  </si>
  <si>
    <t>Moraine Materials - 04731/01 - Middletown</t>
  </si>
  <si>
    <t>Morrow Gravel Company - 04723/01 - Morrow</t>
  </si>
  <si>
    <t>Mountain Enterprises - 04842/01 - Ashland</t>
  </si>
  <si>
    <t>Mountain Materials, Inc. - 04843/01 - Carter City</t>
  </si>
  <si>
    <t>Mountaineer Quarry - 05071/01 - New Cumberland</t>
  </si>
  <si>
    <t>Mountaineer Quarry - 5071A/01 - New Cumberland</t>
  </si>
  <si>
    <t>National Aggregates - 04357/01 - Waynesburg</t>
  </si>
  <si>
    <t>National Lime &amp; Stone Co. - 04007/01 - Findlay</t>
  </si>
  <si>
    <t>National Lime &amp; Stone Co. - 04008/01 - Lima</t>
  </si>
  <si>
    <t>National Lime &amp; Stone Co. - 04015/01 - Delphos</t>
  </si>
  <si>
    <t>National Lime &amp; Stone Co. - 04019/01 - Upper Sandusky</t>
  </si>
  <si>
    <t>National Lime &amp; Stone Co. - 04027/01 - Columbus Grove</t>
  </si>
  <si>
    <t>National Lime &amp; Stone Co. - 04030/01 - Carey</t>
  </si>
  <si>
    <t>National Lime &amp; Stone Co. - No-19 - Wooster</t>
  </si>
  <si>
    <t>National Lime &amp; Stone Co. - No-55 - Medina</t>
  </si>
  <si>
    <t>National Lime &amp; Stone Co. - 04202/01 - Bucyrus</t>
  </si>
  <si>
    <t>National Lime &amp; Stone Co. - No-20 - Akron</t>
  </si>
  <si>
    <t>National Lime &amp; Stone Co. - No-22 - Canton</t>
  </si>
  <si>
    <t>National Lime &amp; Stone Co. - No-40 - Massillon</t>
  </si>
  <si>
    <t>National Lime &amp; Stone Co. - No-41 - Coshocton</t>
  </si>
  <si>
    <t>National Lime &amp; Stone Co. - No-21 - Gahanna</t>
  </si>
  <si>
    <t>National Lime &amp; Stone Co. - 04505/01 - Delaware</t>
  </si>
  <si>
    <t>National Lime &amp; Stone Co. - 04512/01 - Marion</t>
  </si>
  <si>
    <t>National Lime &amp; Stone Co. - 04636B/01 - Wapakoneta</t>
  </si>
  <si>
    <t>National Lime &amp; Stone Co. - No-26 - New Philadelphia</t>
  </si>
  <si>
    <t>National Lime &amp; Stone Company - No-18 - Bellaire</t>
  </si>
  <si>
    <t>National Lime &amp; Stone Company - 05047/01 - Magnolia</t>
  </si>
  <si>
    <t>Neers Sand &amp; Gravel - 04629/01 - Bellefontaine</t>
  </si>
  <si>
    <t>Nelson Sd &amp; Gr, Inc. - 04301/01 - Kingsville</t>
  </si>
  <si>
    <t>Newton Asphalt - 05020/01 - Dover</t>
  </si>
  <si>
    <t>Newton Asphalt - 5020A/01 - Dover</t>
  </si>
  <si>
    <t>Northern Kentucky Aggregates - 04745/01 - Petersburg</t>
  </si>
  <si>
    <t>Northern Kentucky Aggregates - 4745A/01 - Petersburg</t>
  </si>
  <si>
    <t>Oeder &amp; Sons Sd &amp; Gr - 04724/01 - Lebanon</t>
  </si>
  <si>
    <t>Ohio Asphaltic Limestone - 04819/01 - Hillsboro</t>
  </si>
  <si>
    <t>Ohio River Aggregate, Inc. - No-50 - Moundsville</t>
  </si>
  <si>
    <t>Olen Corporation - 04004/01 - Upper Sandusky</t>
  </si>
  <si>
    <t>Olen Corporation - 04215/01 - Wooster</t>
  </si>
  <si>
    <t>Olen Corporation - 4215A/01 - Wooster</t>
  </si>
  <si>
    <t>Olen Corporation - 04334/01 - Mantua</t>
  </si>
  <si>
    <t>Olen Corporation - 04410/01 - St. Louisville</t>
  </si>
  <si>
    <t>Olen Corporation - 04420/01 - Fredericktown</t>
  </si>
  <si>
    <t>Olen Corporation - 04509/01 - Columbus</t>
  </si>
  <si>
    <t>Olen Corporation - 4509A/01 - Columbus</t>
  </si>
  <si>
    <t>Ontario Stone Corp. - No-23 - Cleveland</t>
  </si>
  <si>
    <t>Osborne Concrete &amp; Stone - No-27 - Akron</t>
  </si>
  <si>
    <t>Osborne Concrete &amp; Stone - No-25 - Fairport</t>
  </si>
  <si>
    <t>Osborne Concrete &amp; Stone - No-28 - Cleveland</t>
  </si>
  <si>
    <t>Osborne Medina Inc. - No-09 - Lodi</t>
  </si>
  <si>
    <t>Osborne Medina, Inc. - No-53 - Medina</t>
  </si>
  <si>
    <t>Oster Sand &amp; Gravel Inc. - 04325/01 - Massillon</t>
  </si>
  <si>
    <t>Oster Sand &amp; Gravel Inc. - 05027/01 - Bolivar</t>
  </si>
  <si>
    <t>P &amp; C Dock Co. - No-30 - Conneaut</t>
  </si>
  <si>
    <t>Phillips Companies - 04725/01 - Xenia</t>
  </si>
  <si>
    <t>Pinney Dock &amp; Transport - No-31 - Ashtabula</t>
  </si>
  <si>
    <t>Piqua Materials, Inc. - 04615/01 - Piqua</t>
  </si>
  <si>
    <t>Poeppleman Inc., C.F. - 04631/01 - Bradford</t>
  </si>
  <si>
    <t>Portage Aggregate &amp; Supply, LLC - 04389/01 - Mantua</t>
  </si>
  <si>
    <t>Precision Aggregates - 04010/01 - Upper Sandusky</t>
  </si>
  <si>
    <t>Precision Aggregates - 04109/01 - Fremont</t>
  </si>
  <si>
    <t>Precision Aggregates - 04133/01 - Portage</t>
  </si>
  <si>
    <t>Price Inland Terminal - No-33 - Belpre</t>
  </si>
  <si>
    <t>Putnam Stone Company - 04011/01 - Ottawa</t>
  </si>
  <si>
    <t>Quality Aggregates Inc. - 04382/01 - Portersville</t>
  </si>
  <si>
    <t>Quality Ready Mix Inc. - 04633/01 - Wapakoneta</t>
  </si>
  <si>
    <t>Razor Lake Sand &amp; Gravel, LLC - 04423/01 - Newcomerstown</t>
  </si>
  <si>
    <t>River Sand &amp; Gravel - 04845/01 - Vanceburg</t>
  </si>
  <si>
    <t>Rock Bottom Gravel Products, Inc. - 04153/01 - Pleasant Lake</t>
  </si>
  <si>
    <t>Round Lake Sand &amp; Gravel - 04122/01 - Addison</t>
  </si>
  <si>
    <t>Rupp Construction, Inc. - 04214/01 - Marshallville</t>
  </si>
  <si>
    <t>Samco Inc. - 04333/01 - Middlefield</t>
  </si>
  <si>
    <t>Shamrock Materials, Inc. - 04726/01 - Trenton</t>
  </si>
  <si>
    <t>Shelly Materials - No-32 - Kent</t>
  </si>
  <si>
    <t>Shelly Materials Inc. - 04502/01 - Grove City</t>
  </si>
  <si>
    <t>Shelly Materials Inc. - 04503/01 - Grove City</t>
  </si>
  <si>
    <t>Shelly Materials Inc. - 04958/01 - Portland</t>
  </si>
  <si>
    <t>Shelly Materials, Inc. - 04020/01 - Forest</t>
  </si>
  <si>
    <t>Shelly Materials, Inc. - No-42 - Copley</t>
  </si>
  <si>
    <t>Shelly Materials, Inc. - 04402/01 - Dresden</t>
  </si>
  <si>
    <t>Shelly Materials, Inc. - 04403/01 - Coshocton</t>
  </si>
  <si>
    <t>Shelly Materials, Inc. - 04407/01 - Newark</t>
  </si>
  <si>
    <t>Shelly Materials, Inc. - 04411/01 - Lancaster</t>
  </si>
  <si>
    <t>Shelly Materials, Inc. - 04413/01 - E. Fultonham</t>
  </si>
  <si>
    <t>Shelly Materials, Inc. - 04414/01 - Zanesville</t>
  </si>
  <si>
    <t>Shelly Materials, Inc. - 04424/01 - Alexandria</t>
  </si>
  <si>
    <t>Shelly Materials, Inc. - 4403A/01 - Coshocton</t>
  </si>
  <si>
    <t>Shelly Materials, Inc. - 4414A/01 - E. Fultonham</t>
  </si>
  <si>
    <t>Shelly Materials, Inc. - 04513/01 - W. Mansfield</t>
  </si>
  <si>
    <t>Shelly Materials, Inc. - 04519/01 - Ostrander</t>
  </si>
  <si>
    <t>Shelly Materials, Inc. - 04523/01 - Lockbourne</t>
  </si>
  <si>
    <t>Shelly Materials, Inc. - 04626/01 - Belle Center</t>
  </si>
  <si>
    <t>Shelly Materials, Inc. - 04652/01 - Springfield</t>
  </si>
  <si>
    <t>Shelly Materials, Inc. - No-34 - Proctorville</t>
  </si>
  <si>
    <t>Shelly Materials, Inc. - 04804/01 - Chillicothe - 1</t>
  </si>
  <si>
    <t>Shelly Materials, Inc. - 04840/01 - Chillicothe -2</t>
  </si>
  <si>
    <t>Shelly Materials, Inc. - No-36 - Gallipolis</t>
  </si>
  <si>
    <t>Shelly Materials, Inc. - 04906/01 - Racine</t>
  </si>
  <si>
    <t>Shelly Materials, Inc. - 04945/01 - Reedsville</t>
  </si>
  <si>
    <t>Shelly Materials, Inc. - 04948/01 - Marietta</t>
  </si>
  <si>
    <t>Shelly Materials, Inc. - 4906A/01 - Racine</t>
  </si>
  <si>
    <t>Shelly Materials, Inc. - 4948A/01 - Marietta</t>
  </si>
  <si>
    <t>Shelly Materials, Inc. "Agg Rok Materials" - 04501/01 - Columbus</t>
  </si>
  <si>
    <t>Shenango Valley Sd &amp; Gr Inc. - 04350/01 - Jamestown</t>
  </si>
  <si>
    <t>Sidley Inc., R.W. - 04335/01 - Kingsville</t>
  </si>
  <si>
    <t>Sidley Inc., R.W. - No-37 - Grand River</t>
  </si>
  <si>
    <t>Sidley Inc., R.W. - 05113/01 - Thompson</t>
  </si>
  <si>
    <t>Simak Trucking Inc. - 04380/01 - North Kingsville</t>
  </si>
  <si>
    <t>Small's Sand &amp; Gravel, Inc. - 04419/01 - Gambier</t>
  </si>
  <si>
    <t>Smith Concrete - No-35 - Marietta</t>
  </si>
  <si>
    <t>Sober Sand &amp; Gravel - 04377/01 - Rootstown</t>
  </si>
  <si>
    <t>Soehnlen Sand &amp; Gravel Inc. - 05069/01 - Beach City</t>
  </si>
  <si>
    <t>Solomon's Mines, Inc. - 04371/01 - Salem</t>
  </si>
  <si>
    <t>South Central Sand &amp; Gravel - 04805/01 - Piketon</t>
  </si>
  <si>
    <t>South Columbus Aggregates - 04522/01 - Lockbourne</t>
  </si>
  <si>
    <t>Southern Ohio Aggregates - No-52 - Cleves</t>
  </si>
  <si>
    <t>St. Joe Sand &amp; Gravel - 04157/01 - Montpelier</t>
  </si>
  <si>
    <t>Stafford Gravel, Inc. - 04135/01 - Butler</t>
  </si>
  <si>
    <t>Standing Stone - 05066/01 - Cadiz</t>
  </si>
  <si>
    <t>Stansley Mineral Resources - 04118/01 - Genoa</t>
  </si>
  <si>
    <t>Stansley Mineral Resources - 04128/01 - Clinton</t>
  </si>
  <si>
    <t>Stansley Mineral Resources - 04152/01 - Horton</t>
  </si>
  <si>
    <t>Stansley Mineral Resources - 04159/01 - Tecumseh</t>
  </si>
  <si>
    <t>Stein, Inc. - 04208/01 - Lorain</t>
  </si>
  <si>
    <t>Stocker Sand &amp; Gravel - 5038A/01 - Gnaddenhutten</t>
  </si>
  <si>
    <t>Stocker Sand &amp; Gravel Co. - 05038/01 - Gnaddenhutten</t>
  </si>
  <si>
    <t>Stocker Sand &amp; Gravel Co. - 09552/01 - Gnaddenhutten</t>
  </si>
  <si>
    <t>Stocker Sand &amp; Gravel Co. - 9552A/01 - Gnaddenhutten</t>
  </si>
  <si>
    <t>Stoneco Inc. - 04012/01 - Oakwood</t>
  </si>
  <si>
    <t>Stoneco Inc. - 04013/01 - Convoy</t>
  </si>
  <si>
    <t>Stoneco Inc. - 04101/01 - Perrysburg</t>
  </si>
  <si>
    <t>Stoneco Inc. - 04103/01 - Portage</t>
  </si>
  <si>
    <t>Stoneco Inc. - 04123/01 - Maumee</t>
  </si>
  <si>
    <t>Stoneco Inc. - 4123A/01 - Maumee</t>
  </si>
  <si>
    <t>Stoneco Inc. - 04622/01 - Celina</t>
  </si>
  <si>
    <t>Stoneco Maybee - 04154/01 - Maybee</t>
  </si>
  <si>
    <t>Stoneco Moscow - 04131/01 - Jonesville</t>
  </si>
  <si>
    <t>Stoneco operating as Wyandot Dolomite, Inc. - 04017/01 - Carey</t>
  </si>
  <si>
    <t>Stoneco Ottawa Lake - 04132/01 - Ottawa Lake</t>
  </si>
  <si>
    <t>Stoneco Zeeb Rd. Pit - 04160/01 - Ann Arbor</t>
  </si>
  <si>
    <t>Subtropolis Mining Company - 04394/01 - Petersburg</t>
  </si>
  <si>
    <t>Suffield Aggregate, LLC - 04399/01 - Mogadore</t>
  </si>
  <si>
    <t>Terra Resources, LLC - 04396/01 - Mercer</t>
  </si>
  <si>
    <t>Three Locks Gravel Co. - 04844/01 - Chillicothe</t>
  </si>
  <si>
    <t>Three Rivers Aggregates - 04349/01 - Mercer</t>
  </si>
  <si>
    <t>Three Rivers Aggregates - 04375/01 - Slippery Rock - # 1</t>
  </si>
  <si>
    <t>Three Rivers Aggregates - 04388/01 - Wampum</t>
  </si>
  <si>
    <t>Three Rivers Aggregates - 04395/01 - Slippery Rock - # 2</t>
  </si>
  <si>
    <t>Three Rivers Aggregates - 04398/01 - Darlington</t>
  </si>
  <si>
    <t>Tiger Sand &amp; Gravel LLC - 04344/01 - Massillon</t>
  </si>
  <si>
    <t>Tow Path Materials - 04838/01 - Lucasville</t>
  </si>
  <si>
    <t>Tow Path Materials - 04841/01 - Frankfort</t>
  </si>
  <si>
    <t>Tube City IMS - 04707/01 - Middletown</t>
  </si>
  <si>
    <t>Tube City IMS - 05031/01 - Mingo Junction</t>
  </si>
  <si>
    <t>Tuffco Sand &amp; Gravel Inc. - 4516A/01 - Plain City</t>
  </si>
  <si>
    <t>Tuffco Sand &amp; Gravel, Inc. - 04516/01 - Plain City</t>
  </si>
  <si>
    <t>U.S. Aggregates, Inc. - 04709/01 - Richmond</t>
  </si>
  <si>
    <t>Uniontown Stone - 05062/01 - St. Clairsville</t>
  </si>
  <si>
    <t>United Aggregates, Inc. - Plant # 1 - 04409/01 - Mt. Vernon</t>
  </si>
  <si>
    <t>United Aggregates, Inc. - Plant # 2 - 04405/01 - Danville</t>
  </si>
  <si>
    <t>Urbana Materials, Inc. - 04628/01 - Urbana</t>
  </si>
  <si>
    <t>Valley Asphalt Corporation - No-47 - Newtown</t>
  </si>
  <si>
    <t>Wagner Quarries Co. - 4204A/01 - Sandusky</t>
  </si>
  <si>
    <t>Walls Materials, Inc. - 04602/01 - Greenville</t>
  </si>
  <si>
    <t>Waterloo Coal Co., Inc. - 04822/01 - Jackson</t>
  </si>
  <si>
    <t>Watson Gravel Inc. - 04729/01 - Hamilton</t>
  </si>
  <si>
    <t>Watson Gravel Inc. - 04779/01 - Harrison</t>
  </si>
  <si>
    <t>Watson Gravel,  Inc. - 04787/01 - Cleves</t>
  </si>
  <si>
    <t>Watson Gravel, Inc. - 04744/01 - Middletown</t>
  </si>
  <si>
    <t>Weber Sand &amp; Gravel, Inc. - 04117/01 - Edgerton</t>
  </si>
  <si>
    <t>Welch Sand &amp; Gravel Inc. - 04733/01 - Harrison</t>
  </si>
  <si>
    <t>Welch Sand &amp; Gravel Inc. - 04746/01 - Cincinnati</t>
  </si>
  <si>
    <t>West Millgrove Stone - 04108/01 - West Millgrove</t>
  </si>
  <si>
    <t>Westfall Aggregates &amp; Materials, Inc. - 04535/01 - Circleville</t>
  </si>
  <si>
    <t>Wysong Gravel Company - 04734/01 - Camden</t>
  </si>
  <si>
    <t>Wysong Gravel Company - 04736/01 - W. Alexandria</t>
  </si>
  <si>
    <t>Wysong Gravel Company - 4736A/01 - West Alexandria</t>
  </si>
  <si>
    <t>Wysong Stone Company - 04735/01 - Lewisburg</t>
  </si>
  <si>
    <t>X.L. Sand &amp; Gravel Co. - 05039/01 - Negley</t>
  </si>
  <si>
    <t>Young's Sand &amp; Gravel, Inc. - 04201/01 - Loudonville</t>
  </si>
  <si>
    <t>Mar-Zane Materials Aggregate Division - No-12 - Weirton</t>
  </si>
  <si>
    <t>Eaton Asphalt Paving Company - No-57 - Maysville</t>
  </si>
  <si>
    <t>Stoneco Ottawa Lake Yard - No-58 - Ottawa Lake</t>
  </si>
  <si>
    <t>Lehigh Hanson Aggregates - No-60 - Hillsboro</t>
  </si>
  <si>
    <t>Mar-Zane Materials - No-61 - Weirton</t>
  </si>
  <si>
    <t>No. 3</t>
  </si>
  <si>
    <t>Area Aggregates LLC - 4163/66 - Cleveland</t>
  </si>
  <si>
    <t>***NOTE: Column for Dump Rock has been added to Delivery Freight Rates Bid Pages.</t>
  </si>
  <si>
    <t>Olen Corporation - 04538/01 - Columbus</t>
  </si>
  <si>
    <t>Bid Price per Ton</t>
  </si>
  <si>
    <t>(INSERT VENDOR NAME HERE)</t>
  </si>
  <si>
    <t xml:space="preserve">THIS IS BEING PROVIDED AS AN EXAMPLE ONLY. </t>
  </si>
  <si>
    <t xml:space="preserve">Part 1 - Aggregate, Plant Pick-Up Unit Bid Pricing </t>
  </si>
  <si>
    <t xml:space="preserve">DO NOT INCLUDE FREIGHT IN YOUR PRICING FOR THIS SECTION. SEE TABS 2 and 3 FOR DELIVERY RATES. </t>
  </si>
  <si>
    <t>Snow and Ice Control Materials (Grits) Pricing F.O.B. At Vendor's Plant</t>
  </si>
  <si>
    <t>Insert Unit Bid Price Per Ton to Haul Materials.</t>
  </si>
  <si>
    <t xml:space="preserve"> Unit Bid Price per Ton for Hauling </t>
  </si>
  <si>
    <t>Part 3 - Freight (Hauling) Rates for Non-ODOT/Other Locations</t>
  </si>
  <si>
    <t xml:space="preserve">Amerikohl Aggregates- McMillin Quarry 04304/01- Wampum, PA </t>
  </si>
  <si>
    <t>Sergeant Stone- 04436/01 Zanesville, Ohio</t>
  </si>
  <si>
    <t>Part 2 - Hauling Rates to ODOT Locations (DO NOT INCLUDE MATERIAL COSTS)</t>
  </si>
  <si>
    <t>1705 North McCullough Street, Lima, 45801</t>
  </si>
  <si>
    <t xml:space="preserve">Putnam </t>
  </si>
  <si>
    <t>9733 SR 110 Napoleon, Oh 43545</t>
  </si>
  <si>
    <t>4080 Technology Dr. Maumee, Oh 43537</t>
  </si>
  <si>
    <t>955 Mitchell Rd. Bowling Green, Oh 43402</t>
  </si>
  <si>
    <t>275 Crossroads Blvd., Bucyrus OH 44820</t>
  </si>
  <si>
    <t>1661 Geyers Chapel Rd., Wooster, OH 44691</t>
  </si>
  <si>
    <t>5071 Commerce One Drive, Rootstown, OH 44272</t>
  </si>
  <si>
    <t>3265 West Fair Avenue, Lancaster, OH 43130</t>
  </si>
  <si>
    <t>10040 North Pointe Rd., Dresden, OH 43821</t>
  </si>
  <si>
    <t>6640 State Route 29, West Jefferson, OH  43162</t>
  </si>
  <si>
    <t>15664 US 62, Mount Sterling, OH 43143</t>
  </si>
  <si>
    <t>39.575773, -84.711591, According to Google Maps, 17188 SR 732, Camden, Ohio  45311</t>
  </si>
  <si>
    <t>5591 Wakefield Mound Rd. Piketon, OH 45661</t>
  </si>
  <si>
    <t>16979 S.R. 141 Willow Wood, OH 45696</t>
  </si>
  <si>
    <t>Belpre OP, 399 SR 618, Belpre, OH 45714</t>
  </si>
  <si>
    <t>2504 SR 550, Cutler, OH 45724</t>
  </si>
  <si>
    <t>8411 State Route 78, Glouster, OH 45732</t>
  </si>
  <si>
    <t>38986 State Route 7, Sardis, OH 43946</t>
  </si>
  <si>
    <t>17229 Hunkadora Road, Caldwell, OH 43724</t>
  </si>
  <si>
    <t>48030 Outpost Road, Caldwell, OH 43724</t>
  </si>
  <si>
    <t>43140 State Route 160, Wilkesville, OH 45695</t>
  </si>
  <si>
    <t>20255 State Route 821, Dexter City, OH 45727</t>
  </si>
  <si>
    <t>575 CR 43, Steubenville, OH 43952</t>
  </si>
  <si>
    <t>940 Kingsdale Rd., Steubenville, OH 43952</t>
  </si>
  <si>
    <t>4735 State Rt. 150, Dillonvale, OH 43917</t>
  </si>
  <si>
    <t>7876 State Rt. 164, Bergholz, OH 43908</t>
  </si>
  <si>
    <t>1800 S. Washington St., Millersburg, OH 44654</t>
  </si>
  <si>
    <t>1763 Dover-Zoar Rd., Bolivar, OH 44612</t>
  </si>
  <si>
    <t>25500 St. Clair Ave Euclid OH 44117</t>
  </si>
  <si>
    <t>2151 W114th St. Cleveland OH 44102</t>
  </si>
  <si>
    <t>100% passing 3/8" sieve
0---7% passing #50 sieve</t>
  </si>
  <si>
    <t>100% passing #4 sieve
0---50% passing #8 sieve
0---7% passing #50 sieve</t>
  </si>
  <si>
    <t>100% passing 3/8" sieve
0---30% passing #50 sieve</t>
  </si>
  <si>
    <t>HAULING RATES ODOT LOCATIONS</t>
  </si>
  <si>
    <t>Unit Bid Price Per Ton for hauling</t>
  </si>
  <si>
    <t>District</t>
  </si>
  <si>
    <t>Hauling Rates - Other Locations</t>
  </si>
  <si>
    <t>2019 C&amp;MS Spec. No</t>
  </si>
  <si>
    <t>2019 C&amp;MS Spec. No.</t>
  </si>
  <si>
    <t>Embankment Materials, Type C</t>
  </si>
  <si>
    <t>Limestone-Spec.  703.16</t>
  </si>
  <si>
    <t>Gravel-Spec. 703.16</t>
  </si>
  <si>
    <t>Slag-Spec. 703.16</t>
  </si>
  <si>
    <t>VENDOR</t>
  </si>
  <si>
    <t>PLANT</t>
  </si>
  <si>
    <t>Category</t>
  </si>
  <si>
    <t>Price/Ton</t>
  </si>
  <si>
    <t>No. 1 ( 703.02 )</t>
  </si>
  <si>
    <t>No. 1 ( 703.04 )</t>
  </si>
  <si>
    <t>No. 1 ( 703.05 )</t>
  </si>
  <si>
    <t>No. 2 ( 703.02 )</t>
  </si>
  <si>
    <t>No. 2 ( 703.04 )</t>
  </si>
  <si>
    <t>No. 2 ( 703.05 )</t>
  </si>
  <si>
    <t>No. 3 ( 703.02 )</t>
  </si>
  <si>
    <t>No. 3 ( 703.04 )</t>
  </si>
  <si>
    <t>No. 3 ( 703.05 )</t>
  </si>
  <si>
    <t>No. 4 ( 703.02 )</t>
  </si>
  <si>
    <t>No. 4 ( 703.04 )</t>
  </si>
  <si>
    <t>No. 4 ( 703.05 )</t>
  </si>
  <si>
    <t>No. 467 ( 703.02 )</t>
  </si>
  <si>
    <t>No. 467 ( 703.04 )</t>
  </si>
  <si>
    <t>No. 467 ( 703.05 )</t>
  </si>
  <si>
    <t>No. 57 ( 703.02 )</t>
  </si>
  <si>
    <t>No. 57 ( 703.04 )</t>
  </si>
  <si>
    <t>No. 57 ( 703.05 )</t>
  </si>
  <si>
    <t>No. 6 ( 703.02 )</t>
  </si>
  <si>
    <t>No. 6 ( 703.04 )</t>
  </si>
  <si>
    <t>No. 6 ( 703.05 )</t>
  </si>
  <si>
    <t>No. 67 ( 703.02 )</t>
  </si>
  <si>
    <t>No. 67 ( 703.04 )</t>
  </si>
  <si>
    <t>No. 67 ( 703.05 )</t>
  </si>
  <si>
    <t>No. 67 ( 422.02 )</t>
  </si>
  <si>
    <t>No. 8 ( 703.02 )</t>
  </si>
  <si>
    <t>No. 8 ( 703.04 )</t>
  </si>
  <si>
    <t>No. 8 ( 703.05 )</t>
  </si>
  <si>
    <t>No. 9 ( 703.02 )</t>
  </si>
  <si>
    <t>No. 9 ( 703.04 )</t>
  </si>
  <si>
    <t>No. 9 ( 703.05 )</t>
  </si>
  <si>
    <t>04001-01</t>
  </si>
  <si>
    <t>GERKEN CO-BLUFFTON</t>
  </si>
  <si>
    <t>310 QUARRY DR</t>
  </si>
  <si>
    <t>BLUFFTON</t>
  </si>
  <si>
    <t>OH</t>
  </si>
  <si>
    <t>45817</t>
  </si>
  <si>
    <t>04002-01</t>
  </si>
  <si>
    <t>LAFARGE-PAULDING</t>
  </si>
  <si>
    <t>11450 CR 180</t>
  </si>
  <si>
    <t>PAULDING</t>
  </si>
  <si>
    <t>45879</t>
  </si>
  <si>
    <t>04004-01</t>
  </si>
  <si>
    <t>OLEN CORP-UPPER SANDUSKY</t>
  </si>
  <si>
    <t>6326 CH 61</t>
  </si>
  <si>
    <t>UPPER SANDUSKY</t>
  </si>
  <si>
    <t>43351</t>
  </si>
  <si>
    <t>04005-01</t>
  </si>
  <si>
    <t>U.S. AGGREGATES-PLEASANT MILLS</t>
  </si>
  <si>
    <t>699 S 500 E</t>
  </si>
  <si>
    <t>DECATUR</t>
  </si>
  <si>
    <t>IN</t>
  </si>
  <si>
    <t>46733</t>
  </si>
  <si>
    <t>04006-01</t>
  </si>
  <si>
    <t>NATIONAL L&amp;S-CAREY C5</t>
  </si>
  <si>
    <t>370 N PATTERSON ST</t>
  </si>
  <si>
    <t>CAREY</t>
  </si>
  <si>
    <t>43316</t>
  </si>
  <si>
    <t>04006-20</t>
  </si>
  <si>
    <t>NATIONAL L&amp;S-CAREY C5"NATIONAL L&amp;S-AKRON"</t>
  </si>
  <si>
    <t>101 W EMERLING AVE</t>
  </si>
  <si>
    <t>AKRON</t>
  </si>
  <si>
    <t>44301</t>
  </si>
  <si>
    <t>04006-26</t>
  </si>
  <si>
    <t>NATIONAL L&amp;S-CAREY C5 "NATIONAL L&amp;S-TUSKY"</t>
  </si>
  <si>
    <t>2942 BRIGHTWOOD RD</t>
  </si>
  <si>
    <t>NEW PHILADELPHIA</t>
  </si>
  <si>
    <t>44663</t>
  </si>
  <si>
    <t>04006-41</t>
  </si>
  <si>
    <t>NATIONAL L&amp;S-CAREY C5 "NATIONAL L&amp;S-COSHOCTON"</t>
  </si>
  <si>
    <t>47849 PAPERMILL RD</t>
  </si>
  <si>
    <t>COSHOCTON</t>
  </si>
  <si>
    <t>43812</t>
  </si>
  <si>
    <t>04006-67</t>
  </si>
  <si>
    <t>NATIONAL L&amp;S-CAREY C5 "NATIONAL L&amp;S-MARTINS FERRY"</t>
  </si>
  <si>
    <t>1601 N. FIRST ST.</t>
  </si>
  <si>
    <t>MARTINS FERRY</t>
  </si>
  <si>
    <t>43935</t>
  </si>
  <si>
    <t>04006-73</t>
  </si>
  <si>
    <t>NATIONAL L&amp;S-CAREY C5 "NATIONAL L&amp;S-CADIZ"</t>
  </si>
  <si>
    <t>80870 UNIONVALE-KENWOOD RD</t>
  </si>
  <si>
    <t>CADIZ</t>
  </si>
  <si>
    <t>43907</t>
  </si>
  <si>
    <t>04006-74</t>
  </si>
  <si>
    <t>NATIONAL L&amp;S-CAREY C5 "NATIONAL L&amp;S-CAMBRIDGE"</t>
  </si>
  <si>
    <t>61086 SHAW RD</t>
  </si>
  <si>
    <t>CAMBRIDGE</t>
  </si>
  <si>
    <t>43725</t>
  </si>
  <si>
    <t>04007-01</t>
  </si>
  <si>
    <t>NATIONAL L&amp;S-FINDLAY</t>
  </si>
  <si>
    <t>9860 CR 313</t>
  </si>
  <si>
    <t>FINDLAY</t>
  </si>
  <si>
    <t>45839</t>
  </si>
  <si>
    <t>04007-19</t>
  </si>
  <si>
    <t>NATIONAL L&amp;S-FINDLAY"NATIONAL L&amp;S-WOOSTER"</t>
  </si>
  <si>
    <t>1445 TIMKEN RD</t>
  </si>
  <si>
    <t>WOOSTER</t>
  </si>
  <si>
    <t>44691</t>
  </si>
  <si>
    <t>04007-20</t>
  </si>
  <si>
    <t>NATIONAL L&amp;S-FINDLAY"NATIONAL L&amp;S-AKRON"</t>
  </si>
  <si>
    <t>04007-22</t>
  </si>
  <si>
    <t>NATIONAL L&amp;S-FINDLAY"NATIONAL L&amp;S-CANTON"</t>
  </si>
  <si>
    <t>1428 WAYNESBURG DR SE</t>
  </si>
  <si>
    <t>CANTON</t>
  </si>
  <si>
    <t>44707</t>
  </si>
  <si>
    <t>04008-01</t>
  </si>
  <si>
    <t>NATIONAL L&amp;S-LIMA</t>
  </si>
  <si>
    <t>1314 FINDLAY RD</t>
  </si>
  <si>
    <t>LIMA</t>
  </si>
  <si>
    <t>45802</t>
  </si>
  <si>
    <t>04011-01</t>
  </si>
  <si>
    <t>NATIONAL L&amp;S-OTTAWA</t>
  </si>
  <si>
    <t>7053 ROAD M</t>
  </si>
  <si>
    <t>OTTAWA</t>
  </si>
  <si>
    <t>45875</t>
  </si>
  <si>
    <t>04012-01</t>
  </si>
  <si>
    <t>STONECO-AUGLAIZE</t>
  </si>
  <si>
    <t>13762 CR 179</t>
  </si>
  <si>
    <t>OAKWOOD</t>
  </si>
  <si>
    <t>45873</t>
  </si>
  <si>
    <t>04013-01</t>
  </si>
  <si>
    <t>STONECO-SCOTT</t>
  </si>
  <si>
    <t>2364 RICHEY RD</t>
  </si>
  <si>
    <t>CONVOY</t>
  </si>
  <si>
    <t>45832</t>
  </si>
  <si>
    <t>04015-01</t>
  </si>
  <si>
    <t>NATIONAL L&amp;S-DELPHOS</t>
  </si>
  <si>
    <t>24384A SR 697</t>
  </si>
  <si>
    <t>DELPHOS</t>
  </si>
  <si>
    <t>45833</t>
  </si>
  <si>
    <t>04017-01</t>
  </si>
  <si>
    <t>WYANDOT-CAREY</t>
  </si>
  <si>
    <t>1794 CR 99</t>
  </si>
  <si>
    <t>04017-02</t>
  </si>
  <si>
    <t>STONECO-WYANDOT DOLOMITE"ACME CO-YOUNGSTOWN"</t>
  </si>
  <si>
    <t>9495 HARVARD BLVD</t>
  </si>
  <si>
    <t>YOUNGSTOWN</t>
  </si>
  <si>
    <t>44514</t>
  </si>
  <si>
    <t>04017-11</t>
  </si>
  <si>
    <t>WYANDOT-CAREY"CITY STONE-ROUTE 45"</t>
  </si>
  <si>
    <t>???</t>
  </si>
  <si>
    <t/>
  </si>
  <si>
    <t>04017-13</t>
  </si>
  <si>
    <t>WYANDOT-CAREY - "SHELLY MATLS-ALLIANCE"</t>
  </si>
  <si>
    <t>2000 W BEESON ST</t>
  </si>
  <si>
    <t>ALLIANCE</t>
  </si>
  <si>
    <t>44601</t>
  </si>
  <si>
    <t>04017-32</t>
  </si>
  <si>
    <t>WYANDOT-CAREY"SHELLY-PORTAGE"</t>
  </si>
  <si>
    <t>1181 CHERRY ST</t>
  </si>
  <si>
    <t>KENT</t>
  </si>
  <si>
    <t>44240</t>
  </si>
  <si>
    <t>04017-42</t>
  </si>
  <si>
    <t>WYANDOT-CAREY"SHELLY MATLS-COPLEY"</t>
  </si>
  <si>
    <t>3350 SAW MILL RD</t>
  </si>
  <si>
    <t>COPLEY</t>
  </si>
  <si>
    <t>44321</t>
  </si>
  <si>
    <t>04017-49</t>
  </si>
  <si>
    <t>WYANDOT-CAREY"CITY STONE-YOUNGSTOWN"</t>
  </si>
  <si>
    <t>151 DIVISION STREET</t>
  </si>
  <si>
    <t>04017-53</t>
  </si>
  <si>
    <t>WYANDOT-CAREY"OSBORNE MEDINA-MEDINA"</t>
  </si>
  <si>
    <t>795 N. PROGRESS DR</t>
  </si>
  <si>
    <t>MEDINA</t>
  </si>
  <si>
    <t>44256</t>
  </si>
  <si>
    <t>04017-55</t>
  </si>
  <si>
    <t>STONECO-WYANDOT DOLOMITE"SHELLY MATLS-MEDINA"</t>
  </si>
  <si>
    <t>820 W SMITH RD</t>
  </si>
  <si>
    <t>04017-69</t>
  </si>
  <si>
    <t>WYANDOT-CAREY - "SHELLY MATLS-WEST 130TH"</t>
  </si>
  <si>
    <t>4431 W 130TH ST</t>
  </si>
  <si>
    <t>CLEVELAND</t>
  </si>
  <si>
    <t>44135</t>
  </si>
  <si>
    <t>04017-75</t>
  </si>
  <si>
    <t>WYANDOT-CAREY - "SHELLY MATLS-DERWENT"</t>
  </si>
  <si>
    <t>11167 CLAY PIKE RD.</t>
  </si>
  <si>
    <t>DERWENT</t>
  </si>
  <si>
    <t>43733</t>
  </si>
  <si>
    <t>04019-01</t>
  </si>
  <si>
    <t>NATIONAL L&amp;S - UPPER SANDUSKY</t>
  </si>
  <si>
    <t>14407 TOWNSHIP RD 124</t>
  </si>
  <si>
    <t>04020-01</t>
  </si>
  <si>
    <t>SHELLY MATLS-FOREST</t>
  </si>
  <si>
    <t>3798 SR 53</t>
  </si>
  <si>
    <t>FOREST</t>
  </si>
  <si>
    <t>45843</t>
  </si>
  <si>
    <t>04023-01</t>
  </si>
  <si>
    <t>KIRBY S&amp;G-U.SANDUSKY</t>
  </si>
  <si>
    <t>4876 CR 43</t>
  </si>
  <si>
    <t>04025-01</t>
  </si>
  <si>
    <t>LEHIGH HANSON-WOODBURN,IN</t>
  </si>
  <si>
    <t>22821 DAWKINS RD</t>
  </si>
  <si>
    <t>WOODBURN</t>
  </si>
  <si>
    <t>46797</t>
  </si>
  <si>
    <t>04027-01</t>
  </si>
  <si>
    <t>NATIONAL L&amp;S-RIMER</t>
  </si>
  <si>
    <t>18264 SR 189</t>
  </si>
  <si>
    <t>RIMER</t>
  </si>
  <si>
    <t>45830</t>
  </si>
  <si>
    <t>04030-01</t>
  </si>
  <si>
    <t>NATIONAL L&amp;S-CAREY C6</t>
  </si>
  <si>
    <t>04030-19</t>
  </si>
  <si>
    <t>NATIONAL L&amp;S-CAREY C6 "NATIONAL L&amp;S-WOOSTER"</t>
  </si>
  <si>
    <t>04030-20</t>
  </si>
  <si>
    <t>NATIONAL L&amp;S-CAREY C6"NATIONAL L&amp;S-AKRON"</t>
  </si>
  <si>
    <t>44319</t>
  </si>
  <si>
    <t>04030-22</t>
  </si>
  <si>
    <t>NATIONAL L&amp;S-CAREY C6"NATIONAL L&amp;S-CANTON"</t>
  </si>
  <si>
    <t>04030-26</t>
  </si>
  <si>
    <t>NATIONAL L&amp;S-CAREY C6 "NATIONAL L&amp;S-TUSKY"</t>
  </si>
  <si>
    <t>04030-40</t>
  </si>
  <si>
    <t>NATIONAL L&amp;S-CAREY C6 "NATIONAL L&amp;S-STARK"</t>
  </si>
  <si>
    <t>8115 NAVARRE RD. SW</t>
  </si>
  <si>
    <t>MASSILLON</t>
  </si>
  <si>
    <t>44646</t>
  </si>
  <si>
    <t>04030-41</t>
  </si>
  <si>
    <t>NATIONAL L&amp;S-CAREY C6 "NATIONAL L&amp;S-COSHOCTON"</t>
  </si>
  <si>
    <t>04030-63</t>
  </si>
  <si>
    <t>NATIONAL L&amp;S-CAREY C6 "NATIONAL L&amp;S-CLEVELAND"</t>
  </si>
  <si>
    <t>4191 E 49TH ST</t>
  </si>
  <si>
    <t>CUYAHOGA HEIGHTS</t>
  </si>
  <si>
    <t>44105</t>
  </si>
  <si>
    <t>04030-64</t>
  </si>
  <si>
    <t>NATIONAL L&amp;S-CAREY C6 "NATIONAL L&amp;S-ERIE,PA"</t>
  </si>
  <si>
    <t>1681 W 16TH ST</t>
  </si>
  <si>
    <t>ERIE</t>
  </si>
  <si>
    <t>PA</t>
  </si>
  <si>
    <t>16505</t>
  </si>
  <si>
    <t>04030-67</t>
  </si>
  <si>
    <t>NATIONAL L&amp;S-CAREY C6 "NATIONAL L&amp;S-MARTINS FERRY"</t>
  </si>
  <si>
    <t>04030-73</t>
  </si>
  <si>
    <t>NATIONAL L&amp;S-CAREY C6 "NATIONAL L&amp;S-CADIZ"</t>
  </si>
  <si>
    <t>80870 UNIONVALE-KENWOOD RD.</t>
  </si>
  <si>
    <t>04030-74</t>
  </si>
  <si>
    <t>NATIONAL L&amp;S-CAREY C6 "NATIONAL L&amp;S-CAMBRIDGE"</t>
  </si>
  <si>
    <t>04030-81</t>
  </si>
  <si>
    <t>NATIONAL L&amp;S-CAREY C6"NATIONAL-NEW MARTINSVILLE"</t>
  </si>
  <si>
    <t>39002 SR 7</t>
  </si>
  <si>
    <t>SARDIS</t>
  </si>
  <si>
    <t>43946</t>
  </si>
  <si>
    <t>04031-01</t>
  </si>
  <si>
    <t>U.S. AGGREGATES-LINN GROVE</t>
  </si>
  <si>
    <t>6311 W SR 218</t>
  </si>
  <si>
    <t>BERNE</t>
  </si>
  <si>
    <t>46711</t>
  </si>
  <si>
    <t>04032-01</t>
  </si>
  <si>
    <t>U.S. AGGREGATES-PORTLAND</t>
  </si>
  <si>
    <t>2228 W 125 S</t>
  </si>
  <si>
    <t>PORTLAND</t>
  </si>
  <si>
    <t>47371</t>
  </si>
  <si>
    <t>04033-01</t>
  </si>
  <si>
    <t>U.S. AGGREGATES-RIDGEVILLE</t>
  </si>
  <si>
    <t>1972 W SR 26</t>
  </si>
  <si>
    <t>RIDGEVILLE</t>
  </si>
  <si>
    <t>47380</t>
  </si>
  <si>
    <t>04035-01</t>
  </si>
  <si>
    <t>STONE STREET QUARRIES-HAYNES S&amp;G</t>
  </si>
  <si>
    <t>663 SR 8</t>
  </si>
  <si>
    <t>GARRETT</t>
  </si>
  <si>
    <t>46738</t>
  </si>
  <si>
    <t>04036-01</t>
  </si>
  <si>
    <t>STONE STREET QUARRIES - POE</t>
  </si>
  <si>
    <t>5536 HOAGLAND RD</t>
  </si>
  <si>
    <t>HOAGLAND</t>
  </si>
  <si>
    <t>46745</t>
  </si>
  <si>
    <t>04101-01</t>
  </si>
  <si>
    <t>STONECO-LIME CITY</t>
  </si>
  <si>
    <t>8812 FREMONT PIKE, US 20</t>
  </si>
  <si>
    <t>PERRYSBURG</t>
  </si>
  <si>
    <t>43551</t>
  </si>
  <si>
    <t>04103-01</t>
  </si>
  <si>
    <t>STONECO-PORTAGE</t>
  </si>
  <si>
    <t>11580 SOUTH DIXIE HIGHWAY, SR 25</t>
  </si>
  <si>
    <t>PORTAGE</t>
  </si>
  <si>
    <t>43451</t>
  </si>
  <si>
    <t>04105-01</t>
  </si>
  <si>
    <t>LAFARGE-MARBLEHEAD</t>
  </si>
  <si>
    <t>831 S QUARRY RD</t>
  </si>
  <si>
    <t>MARBLEHEAD</t>
  </si>
  <si>
    <t>43440</t>
  </si>
  <si>
    <t>04105-04</t>
  </si>
  <si>
    <t>LAFARGE-MARBLEHEAD"SHELLY MATLS-CUYAHOGA RD."</t>
  </si>
  <si>
    <t>2100 W 3RD ST</t>
  </si>
  <si>
    <t>44113</t>
  </si>
  <si>
    <t>04105-23</t>
  </si>
  <si>
    <t>LAFARGE-MARBLEHEAD "ONTARIO STONE-CLEVELAND"</t>
  </si>
  <si>
    <t>1246 RIVER RD</t>
  </si>
  <si>
    <t>04105-24</t>
  </si>
  <si>
    <t>LAFARGE-MARBLEHEAD "LAFARGE-CLEVELAND"</t>
  </si>
  <si>
    <t>2100 W. 3RD ST</t>
  </si>
  <si>
    <t>04105-25</t>
  </si>
  <si>
    <t>LAFARGE-MARBLEHEAD "OSBORNE-GRAND RIVER"</t>
  </si>
  <si>
    <t>1 WILLIAMS STREET</t>
  </si>
  <si>
    <t>GRAND RIVER</t>
  </si>
  <si>
    <t>44045</t>
  </si>
  <si>
    <t>04105-28</t>
  </si>
  <si>
    <t>LAFARGE-MARBLEHEAD "OSBORNE-CLEVELAND"</t>
  </si>
  <si>
    <t>2100 CENTRAL FURNACE ROAD</t>
  </si>
  <si>
    <t>44115</t>
  </si>
  <si>
    <t>04105-29</t>
  </si>
  <si>
    <t>LAFARGE-MARBLEHEAD"LAFARGE-TERMINAL DOCK"</t>
  </si>
  <si>
    <t>1950 IDAHO AVE</t>
  </si>
  <si>
    <t>LORAIN</t>
  </si>
  <si>
    <t>44052</t>
  </si>
  <si>
    <t>04105-31</t>
  </si>
  <si>
    <t>LAFARGE-MARBLEHEAD"PINNEY DOCK-ASHTABULA"</t>
  </si>
  <si>
    <t>1149 E 5TH ST</t>
  </si>
  <si>
    <t>ASHTABULA</t>
  </si>
  <si>
    <t>44004</t>
  </si>
  <si>
    <t>04105-37</t>
  </si>
  <si>
    <t>LAFARGE-MARBLEHEAD"RW SIDLEY-GRAND RIVER"</t>
  </si>
  <si>
    <t>1 COAST GUARD RD</t>
  </si>
  <si>
    <t>04105-43</t>
  </si>
  <si>
    <t>LAFARGE-MARBLEHEAD"LAFARGE-RIVER DOCK"</t>
  </si>
  <si>
    <t>650 HARRISON ST</t>
  </si>
  <si>
    <t>04105-62</t>
  </si>
  <si>
    <t>LAFARGE-MARBLEHEAD"RW SIDLEY-ASHTABULA"</t>
  </si>
  <si>
    <t>508 FRONT ST</t>
  </si>
  <si>
    <t>04106-01</t>
  </si>
  <si>
    <t>MARTIN MARIETTA-WOODVILLE</t>
  </si>
  <si>
    <t>755 LIME RD</t>
  </si>
  <si>
    <t>WOODVILLE</t>
  </si>
  <si>
    <t>43469</t>
  </si>
  <si>
    <t>04106-10</t>
  </si>
  <si>
    <t>MARTIN MARIETTA-WOODVILLE"SHELLY MATLS-TWINSBURG"</t>
  </si>
  <si>
    <t>8530 N BOYLE PARKWAY</t>
  </si>
  <si>
    <t>TWINSBURG</t>
  </si>
  <si>
    <t>44087</t>
  </si>
  <si>
    <t>04106-13</t>
  </si>
  <si>
    <t>MARTIN MARIETTA-WOODVILLE"SHELLY-ALLIANCE"</t>
  </si>
  <si>
    <t>04106-32</t>
  </si>
  <si>
    <t>MARTIN MARIETTA-WOODVILLE"SHELLY MATLS-PORTAGE"</t>
  </si>
  <si>
    <t>04106-69</t>
  </si>
  <si>
    <t>MARTIN MARIETTA-WOODVILLE-"SHELLY MATLS-WEST 130TH</t>
  </si>
  <si>
    <t>04107-01</t>
  </si>
  <si>
    <t>MGQ - MAPLE GROVE</t>
  </si>
  <si>
    <t>1525 CR 42</t>
  </si>
  <si>
    <t>TIFFIN</t>
  </si>
  <si>
    <t>44883</t>
  </si>
  <si>
    <t>04107-10</t>
  </si>
  <si>
    <t>MGQ-OLD FORT"SHELLY MATLS-TWINSBURG"</t>
  </si>
  <si>
    <t>04107-13</t>
  </si>
  <si>
    <t>MGQ-OLD FORT - "SHELLY MATLS-ALLIANCE"</t>
  </si>
  <si>
    <t>04108-01</t>
  </si>
  <si>
    <t>GERKEN CO-WEST MILLGROVE STONE</t>
  </si>
  <si>
    <t>6126 W MAIN ST</t>
  </si>
  <si>
    <t>WEST MILLGROVE</t>
  </si>
  <si>
    <t>43467</t>
  </si>
  <si>
    <t>04109-01</t>
  </si>
  <si>
    <t>PRECISION AGG-FREMONT</t>
  </si>
  <si>
    <t>100 N BRUSH ST</t>
  </si>
  <si>
    <t>FREMONT</t>
  </si>
  <si>
    <t>43420</t>
  </si>
  <si>
    <t>04110-01</t>
  </si>
  <si>
    <t>LEHIGH HANSON-WATERVILLE</t>
  </si>
  <si>
    <t>600 S RIVER RD</t>
  </si>
  <si>
    <t>WATERVILLE</t>
  </si>
  <si>
    <t>43566</t>
  </si>
  <si>
    <t>04111-01</t>
  </si>
  <si>
    <t>LEHIGH HANSON-SYLVANIA</t>
  </si>
  <si>
    <t>4100 CENTENNIAL RD</t>
  </si>
  <si>
    <t>SYLVANIA</t>
  </si>
  <si>
    <t>43560</t>
  </si>
  <si>
    <t>04113-01</t>
  </si>
  <si>
    <t>GERKEN CO-CUSTAR STONE</t>
  </si>
  <si>
    <t>24920 PORTAGE RD</t>
  </si>
  <si>
    <t>CUSTAR</t>
  </si>
  <si>
    <t>43511</t>
  </si>
  <si>
    <t>04114-01</t>
  </si>
  <si>
    <t>LEHIGH HANSON-BLOOMVILLE</t>
  </si>
  <si>
    <t>4575 SENECA CR 49</t>
  </si>
  <si>
    <t>BLOOMVILLE</t>
  </si>
  <si>
    <t>44818</t>
  </si>
  <si>
    <t>04116-01</t>
  </si>
  <si>
    <t>STONECO-CLAY CENTER</t>
  </si>
  <si>
    <t>3800 N BOLANDER RD</t>
  </si>
  <si>
    <t>CLAY CENTER</t>
  </si>
  <si>
    <t>43408</t>
  </si>
  <si>
    <t>04116-10</t>
  </si>
  <si>
    <t>STONECO-CLAY CENTER"SHELLY MATLS-TWINSBURG"</t>
  </si>
  <si>
    <t>04116-13</t>
  </si>
  <si>
    <t>STONECO-CLAY CENTER"SHELLY MATLS-ALLIANCE"</t>
  </si>
  <si>
    <t>2000 W. BEESON ST</t>
  </si>
  <si>
    <t>04116-32</t>
  </si>
  <si>
    <t>STONECO-CLAY CENTER"SHELLY MATLS-PORTAGE"</t>
  </si>
  <si>
    <t>04116-42</t>
  </si>
  <si>
    <t>STONECO-CLAY CENTER"SHELLY MATLS-COPLEY"</t>
  </si>
  <si>
    <t>04116-69</t>
  </si>
  <si>
    <t>STONECO-CLAY CENTER- "SHELLY MATLS-WEST 130TH"</t>
  </si>
  <si>
    <t>04117-01</t>
  </si>
  <si>
    <t>WEBER S&amp;G-EDGERTON</t>
  </si>
  <si>
    <t>02702 CR 3B</t>
  </si>
  <si>
    <t>EDGERTON</t>
  </si>
  <si>
    <t>43517</t>
  </si>
  <si>
    <t>04118-01</t>
  </si>
  <si>
    <t>GENOA LIMESTONE-GENOA</t>
  </si>
  <si>
    <t>677 S GENOA-CLAY CENTER RD</t>
  </si>
  <si>
    <t>GENOA</t>
  </si>
  <si>
    <t>43430</t>
  </si>
  <si>
    <t>04120-01</t>
  </si>
  <si>
    <t>GERKEN CO-HILLSDALE S&amp;G</t>
  </si>
  <si>
    <t>11671 TRIPP RD</t>
  </si>
  <si>
    <t>WALDRON</t>
  </si>
  <si>
    <t>MI</t>
  </si>
  <si>
    <t>49228</t>
  </si>
  <si>
    <t>04122-01</t>
  </si>
  <si>
    <t>GERKEN CO-ROUND LAKE S&amp;G</t>
  </si>
  <si>
    <t>8707 ROUND LAKE HWY</t>
  </si>
  <si>
    <t>ADDISON</t>
  </si>
  <si>
    <t>49220</t>
  </si>
  <si>
    <t>04123-01</t>
  </si>
  <si>
    <t>STONECO-MAUMEE</t>
  </si>
  <si>
    <t>1360 FORD ST</t>
  </si>
  <si>
    <t>MAUMEE</t>
  </si>
  <si>
    <t>43537</t>
  </si>
  <si>
    <t>04126-04</t>
  </si>
  <si>
    <t>SMELTER SD-THESSALON"SHELLY MATLS-CUYAHOGA RD"</t>
  </si>
  <si>
    <t>04126-25</t>
  </si>
  <si>
    <t>SMELTER BAY SAND"OSBORNE-GRAND RIVER"</t>
  </si>
  <si>
    <t>04126-28</t>
  </si>
  <si>
    <t>SMELTER SD-THESSALON"OSBORNE-CLEVELAND"</t>
  </si>
  <si>
    <t>04126-29</t>
  </si>
  <si>
    <t>SMELTER SD-THEESSALON"LAFARGE-TERMINAL DOCK"</t>
  </si>
  <si>
    <t>04128-01</t>
  </si>
  <si>
    <t>GERKEN CO-CLINTON</t>
  </si>
  <si>
    <t>13500 ALLEN RD</t>
  </si>
  <si>
    <t>CLINTON</t>
  </si>
  <si>
    <t>49236</t>
  </si>
  <si>
    <t>04131-01</t>
  </si>
  <si>
    <t>STONECO OF MICHIGAN-MOSCOW</t>
  </si>
  <si>
    <t>8760 E CHICAGO RD</t>
  </si>
  <si>
    <t>HORTON</t>
  </si>
  <si>
    <t>49246</t>
  </si>
  <si>
    <t>04131-58</t>
  </si>
  <si>
    <t>STONECO OF MICHIGAN-MOSCOW"STONECO-OTTAWA LAKE"</t>
  </si>
  <si>
    <t>7555 WHITEFORD RD</t>
  </si>
  <si>
    <t>OTTAWA LAKE</t>
  </si>
  <si>
    <t>49267</t>
  </si>
  <si>
    <t>04132-01</t>
  </si>
  <si>
    <t>STONECO OF MICHIGAN-OTTAWA LAKE</t>
  </si>
  <si>
    <t>04133-01</t>
  </si>
  <si>
    <t>PRECISION AGG-PORTAGE</t>
  </si>
  <si>
    <t>12580 GREENSBURG PIKE</t>
  </si>
  <si>
    <t>04135-01</t>
  </si>
  <si>
    <t>STAFFORD GRAVEL-BUTLER</t>
  </si>
  <si>
    <t>4225 CR 79</t>
  </si>
  <si>
    <t>BUTLER</t>
  </si>
  <si>
    <t>46721</t>
  </si>
  <si>
    <t>04139-01</t>
  </si>
  <si>
    <t>LEHIGH HANSON-ANGOLA, IN</t>
  </si>
  <si>
    <t>260 E 300 N</t>
  </si>
  <si>
    <t>ANGOLA</t>
  </si>
  <si>
    <t>46703</t>
  </si>
  <si>
    <t>04144-04</t>
  </si>
  <si>
    <t>ONTARIO ROCK-ONTARIO"SHELLY MATLS-CUYAHOGA RD"</t>
  </si>
  <si>
    <t>04144-24</t>
  </si>
  <si>
    <t>ONTARIO ROCK-ONTARIO"LAFARGE-CLEVELAND"</t>
  </si>
  <si>
    <t>04144-25</t>
  </si>
  <si>
    <t>ONTARIO TRAP ROCK "OSBORNE-GRAND RIVER"</t>
  </si>
  <si>
    <t>04144-36</t>
  </si>
  <si>
    <t>ONTARIO ROCK-ONTARIO"SHELLY MATLS-GALLIPOLIS"</t>
  </si>
  <si>
    <t>1248 SR 7</t>
  </si>
  <si>
    <t>GALLIPOLIS</t>
  </si>
  <si>
    <t>45631</t>
  </si>
  <si>
    <t>04144-54</t>
  </si>
  <si>
    <t>ONTARIO ROCK-ONTARIO"MIDWEST TERMINALS-TOLEDO"</t>
  </si>
  <si>
    <t>3518 ST LAWRENCE DR</t>
  </si>
  <si>
    <t>TOLEDO</t>
  </si>
  <si>
    <t>43605</t>
  </si>
  <si>
    <t>04144-76</t>
  </si>
  <si>
    <t>ONTARIO ROCK-ONTARIO "MELVIN STONE-WILMER"</t>
  </si>
  <si>
    <t>4686 WILMER CT</t>
  </si>
  <si>
    <t>CINCINNATI</t>
  </si>
  <si>
    <t>45226</t>
  </si>
  <si>
    <t>04147-01</t>
  </si>
  <si>
    <t>FULTON MILL-DELTA</t>
  </si>
  <si>
    <t>6565 CR 9</t>
  </si>
  <si>
    <t>DELTA</t>
  </si>
  <si>
    <t>43515</t>
  </si>
  <si>
    <t>04154-01</t>
  </si>
  <si>
    <t>STONECO OF MICHIGAN-MAYBEE</t>
  </si>
  <si>
    <t>6837 SCOFIELD RD</t>
  </si>
  <si>
    <t>MAYBEE</t>
  </si>
  <si>
    <t>48159</t>
  </si>
  <si>
    <t>04156-01</t>
  </si>
  <si>
    <t>GERKEN CO-GLACIAL S&amp;G</t>
  </si>
  <si>
    <t>1660 CHICAGO RD</t>
  </si>
  <si>
    <t>JONESVILLE</t>
  </si>
  <si>
    <t>49250</t>
  </si>
  <si>
    <t>04156-86</t>
  </si>
  <si>
    <t>GERKEN CO-GLACIAL S&amp;G"GERKEN CO-PIONEER"</t>
  </si>
  <si>
    <t>14791 SR 15</t>
  </si>
  <si>
    <t>PIONEER</t>
  </si>
  <si>
    <t>43554</t>
  </si>
  <si>
    <t>04158-01</t>
  </si>
  <si>
    <t>CARDINAL AGG-PERRYSBURG</t>
  </si>
  <si>
    <t>8026 FREMONT PIKE, US 20</t>
  </si>
  <si>
    <t>04159-01</t>
  </si>
  <si>
    <t>GERKEN CO-TECUMSEH</t>
  </si>
  <si>
    <t>2372 IVES RD</t>
  </si>
  <si>
    <t>TECUMSEH</t>
  </si>
  <si>
    <t>49286</t>
  </si>
  <si>
    <t>04160-01</t>
  </si>
  <si>
    <t>STONECO OF MICHIGAN-ZEEB</t>
  </si>
  <si>
    <t>2575 S ANN ARBOR RD</t>
  </si>
  <si>
    <t>ANN ARBOR</t>
  </si>
  <si>
    <t>48130</t>
  </si>
  <si>
    <t>04160-58</t>
  </si>
  <si>
    <t>STONECO OF MICHIGAN-ZEEB "STONECO-OTTAWA LAKE"</t>
  </si>
  <si>
    <t>04161-01</t>
  </si>
  <si>
    <t>IRVING S&amp;G - ANGOLA</t>
  </si>
  <si>
    <t>225 S 600 W</t>
  </si>
  <si>
    <t>04162-01</t>
  </si>
  <si>
    <t>IRVING S&amp;G-HENSCHEN</t>
  </si>
  <si>
    <t>7445 E 400 S</t>
  </si>
  <si>
    <t>WOLCOTTVILLE</t>
  </si>
  <si>
    <t>46795</t>
  </si>
  <si>
    <t>04163-01</t>
  </si>
  <si>
    <t>AREA AGG-WOODVILLE</t>
  </si>
  <si>
    <t>659 ANDERSON RD</t>
  </si>
  <si>
    <t>04163-66</t>
  </si>
  <si>
    <t>AREA AGG-WOODVILLE"AREA AGG-COLLINWOOD"</t>
  </si>
  <si>
    <t>606 EAST 152 ST</t>
  </si>
  <si>
    <t>44110</t>
  </si>
  <si>
    <t>04166-01</t>
  </si>
  <si>
    <t>WYLIE &amp; SONS LANDSCAPING-PERRYSBURG</t>
  </si>
  <si>
    <t>27226 GLENWOOD RD</t>
  </si>
  <si>
    <t>04169-01</t>
  </si>
  <si>
    <t>STONECO OF MICHIGAN-ANN ARBOR</t>
  </si>
  <si>
    <t>6068 STEINBACH ROAD</t>
  </si>
  <si>
    <t>48103</t>
  </si>
  <si>
    <t>04201-01</t>
  </si>
  <si>
    <t>YOUNGS S&amp;G-LOUDONVILLE</t>
  </si>
  <si>
    <t>689 SR 39 W</t>
  </si>
  <si>
    <t>LOUDONVILLE</t>
  </si>
  <si>
    <t>44842</t>
  </si>
  <si>
    <t>04201-53</t>
  </si>
  <si>
    <t>YOUNGS S&amp;G-LOUDENVILLE"OSBORNE-MEDINA-MEDINA"</t>
  </si>
  <si>
    <t>04202-01</t>
  </si>
  <si>
    <t>NATIONAL L&amp;S-BUCYRUS</t>
  </si>
  <si>
    <t>4580 BETHEL RD</t>
  </si>
  <si>
    <t>BUCYRUS</t>
  </si>
  <si>
    <t>44820</t>
  </si>
  <si>
    <t>04202-19</t>
  </si>
  <si>
    <t>NATIONAL L&amp;S-BUCYRUS"NATIONAL L&amp;S-WOOSTER"</t>
  </si>
  <si>
    <t>04202-22</t>
  </si>
  <si>
    <t>NATIONAL L&amp;S-BUCYRUS"NATIONAL L&amp;S-CANTON"</t>
  </si>
  <si>
    <t>04202-32</t>
  </si>
  <si>
    <t>NATIONAL L&amp;S-BUCYRUS "SHELLY MATLS-PORTAGE"</t>
  </si>
  <si>
    <t>04202-41</t>
  </si>
  <si>
    <t>NATIONAL L&amp;S-BUCYRUS "NATIONAL L&amp;S-COSHOCTON"</t>
  </si>
  <si>
    <t>04202-63</t>
  </si>
  <si>
    <t>NATIONAL L&amp;S-BUCYRUS"NATIONAL L&amp;S-CLEVELAND"</t>
  </si>
  <si>
    <t>04202-74</t>
  </si>
  <si>
    <t>NATIONAL L&amp;S-BUCYRUS "NATIONAL L&amp;S-CAMBRIDGE"</t>
  </si>
  <si>
    <t>04206-01</t>
  </si>
  <si>
    <t>ERIE MATLS-SANDUSKY</t>
  </si>
  <si>
    <t>4507 TIFFIN AVE</t>
  </si>
  <si>
    <t>SANDUSKY</t>
  </si>
  <si>
    <t>44870</t>
  </si>
  <si>
    <t>04206-10</t>
  </si>
  <si>
    <t>ERIE MATLS-SANDUSKY "SHELLY MATLS-TWINSBURG"</t>
  </si>
  <si>
    <t>04206-13</t>
  </si>
  <si>
    <t>ERIE MATLS-SANDUSKY - "SHELLY MATLS-ALLIANCE"</t>
  </si>
  <si>
    <t>04212-01</t>
  </si>
  <si>
    <t>MAR-ZANE MATERIALS - PERRYSVILLE</t>
  </si>
  <si>
    <t>4540 SR 39</t>
  </si>
  <si>
    <t>PERRYSVILLE</t>
  </si>
  <si>
    <t>44864</t>
  </si>
  <si>
    <t>04214-01</t>
  </si>
  <si>
    <t>RUPP CONSTRUCTION-MARSHALLVILLE</t>
  </si>
  <si>
    <t>18228 FULTON RD</t>
  </si>
  <si>
    <t>MARSHALLVILLE</t>
  </si>
  <si>
    <t>44645</t>
  </si>
  <si>
    <t>04215-01</t>
  </si>
  <si>
    <t>OLEN CORP-WOOSTER</t>
  </si>
  <si>
    <t>3001 PRAIRIE LANE RD</t>
  </si>
  <si>
    <t>04301-01</t>
  </si>
  <si>
    <t>NELSON S&amp;G-KINGSVILLE</t>
  </si>
  <si>
    <t>5720 ROUTE 193</t>
  </si>
  <si>
    <t>KINGSVILLE</t>
  </si>
  <si>
    <t>44048</t>
  </si>
  <si>
    <t>04303-01</t>
  </si>
  <si>
    <t>AMERICAN S&amp;G-MASSILLON</t>
  </si>
  <si>
    <t>9500 FORTY CORNERS RD</t>
  </si>
  <si>
    <t>44647</t>
  </si>
  <si>
    <t>04303-55</t>
  </si>
  <si>
    <t>AMERICAN S&amp;G-MASSILLON"SHELLY MATLS-MEDINA"</t>
  </si>
  <si>
    <t>04304-01</t>
  </si>
  <si>
    <t>AMERIKOHL AGGREGATES-MCMILLIN</t>
  </si>
  <si>
    <t>609 CHEWTON-WERTEMBURG RD</t>
  </si>
  <si>
    <t>WAMPUM</t>
  </si>
  <si>
    <t>16157</t>
  </si>
  <si>
    <t>04305-01</t>
  </si>
  <si>
    <t>BECK S&amp;G-RAVENNA</t>
  </si>
  <si>
    <t>2820 WEBB RD.</t>
  </si>
  <si>
    <t>RAVENNA</t>
  </si>
  <si>
    <t>44266</t>
  </si>
  <si>
    <t>04306-01</t>
  </si>
  <si>
    <t>OSCAR BRUGMANN S&amp;G -MANTUA</t>
  </si>
  <si>
    <t>3572 FROST RD</t>
  </si>
  <si>
    <t>MANTUA</t>
  </si>
  <si>
    <t>44255</t>
  </si>
  <si>
    <t>04306-53</t>
  </si>
  <si>
    <t>OSCAR BRUGMAN S&amp;G-MANTUA"OSBORNE MEDINA-MEDINA"</t>
  </si>
  <si>
    <t>795 N PROGRESS DR</t>
  </si>
  <si>
    <t>04307-01</t>
  </si>
  <si>
    <t>CENTRAL-ALLIED ENTERPRISES-CANTON AGGREGATE</t>
  </si>
  <si>
    <t>3015 COLUMBUS RD NE</t>
  </si>
  <si>
    <t>44705</t>
  </si>
  <si>
    <t>04307-02</t>
  </si>
  <si>
    <t>CENTRAL-ALLIED-CANTON AGG"ACME CO-YOUNGSTOWN"</t>
  </si>
  <si>
    <t>04308-01</t>
  </si>
  <si>
    <t>MCDONALD S&amp;G-SPRINGFIELD</t>
  </si>
  <si>
    <t>12559 SANFORD RD</t>
  </si>
  <si>
    <t>WEST SPRINGFIELD</t>
  </si>
  <si>
    <t>16443</t>
  </si>
  <si>
    <t>04309-01</t>
  </si>
  <si>
    <t>AURORA AGGREGATE SUPPLY-RAINBOW S&amp;G</t>
  </si>
  <si>
    <t>9500 ELIMAN RD</t>
  </si>
  <si>
    <t>04310-01</t>
  </si>
  <si>
    <t>NORTHERN AGG-MINERAL RIDGE</t>
  </si>
  <si>
    <t>1311 SALT SPRINGS RD</t>
  </si>
  <si>
    <t>MINERAL RIDGE</t>
  </si>
  <si>
    <t>44440</t>
  </si>
  <si>
    <t>04312-01</t>
  </si>
  <si>
    <t>CORE AGGREGATES-KENT</t>
  </si>
  <si>
    <t>3653 MOGADORE RD</t>
  </si>
  <si>
    <t>04314-01</t>
  </si>
  <si>
    <t>EAST FAIRFIELD COAL-HONEY CREEK</t>
  </si>
  <si>
    <t>12258 SR 170</t>
  </si>
  <si>
    <t>PETERSBURG</t>
  </si>
  <si>
    <t>44454</t>
  </si>
  <si>
    <t>04315-01</t>
  </si>
  <si>
    <t>HUGO SAND-HUGO</t>
  </si>
  <si>
    <t>7055 SR 43</t>
  </si>
  <si>
    <t>04316-01</t>
  </si>
  <si>
    <t>SHELLY MATLS-STREETSBORO</t>
  </si>
  <si>
    <t>8505 SR 14</t>
  </si>
  <si>
    <t>STREETSBORO</t>
  </si>
  <si>
    <t>44241</t>
  </si>
  <si>
    <t>04316-69</t>
  </si>
  <si>
    <t>JEFFERSON-STREETSBORO - "SHELLY MATLS-WEST 130TH"</t>
  </si>
  <si>
    <t>04320-01</t>
  </si>
  <si>
    <t>LAKESIDE S&amp;G-SHALERSVILLE</t>
  </si>
  <si>
    <t>3498 FROST RD</t>
  </si>
  <si>
    <t>04320-02</t>
  </si>
  <si>
    <t>LAKESIDE S&amp;G-SHALERSVILLE"ACME CO-YOUNGSTOWN"</t>
  </si>
  <si>
    <t>04320-03</t>
  </si>
  <si>
    <t>LAKESIDE S&amp;G-SHALERSVILLE"ACME CO-N. JACKSON"</t>
  </si>
  <si>
    <t>11600 MAHONING AVE</t>
  </si>
  <si>
    <t>NORTH JACKSON</t>
  </si>
  <si>
    <t>44451</t>
  </si>
  <si>
    <t>04320-24</t>
  </si>
  <si>
    <t>LAKESIDE S&amp;G-SHALERSVILLE"LAFARGE - CLEVELAND"</t>
  </si>
  <si>
    <t>04322-01</t>
  </si>
  <si>
    <t>CENTRAL-ALLIED ENTERPRISE-MASSILLON</t>
  </si>
  <si>
    <t>6331 BLOUGH AVE SW</t>
  </si>
  <si>
    <t>NAVARRE</t>
  </si>
  <si>
    <t>44662</t>
  </si>
  <si>
    <t>04325-01</t>
  </si>
  <si>
    <t>OSTER S&amp;G-MASSILLON</t>
  </si>
  <si>
    <t>1955 RIVERSIDE DR</t>
  </si>
  <si>
    <t>04325-09</t>
  </si>
  <si>
    <t>OSTER S&amp;G-MASSILLON"OSBORNE MEDINA-LODI"</t>
  </si>
  <si>
    <t>8217 SEVILLE RD</t>
  </si>
  <si>
    <t>LODI</t>
  </si>
  <si>
    <t>44254</t>
  </si>
  <si>
    <t>04325-53</t>
  </si>
  <si>
    <t>OSTER S&amp;G-MASSILLON"OSBORNE MEDINA-MEDINA"</t>
  </si>
  <si>
    <t>04326-01</t>
  </si>
  <si>
    <t>ALLEGA-RICHFIELD</t>
  </si>
  <si>
    <t>3320 COLUMBIA RD</t>
  </si>
  <si>
    <t>RICHFIELD</t>
  </si>
  <si>
    <t>44286</t>
  </si>
  <si>
    <t>04328-01</t>
  </si>
  <si>
    <t>CITY STONE-MILTON TOWNSHIP</t>
  </si>
  <si>
    <t>SR 534</t>
  </si>
  <si>
    <t>MILTON TOWNSHIP</t>
  </si>
  <si>
    <t>44512</t>
  </si>
  <si>
    <t>04330-20</t>
  </si>
  <si>
    <t>MAR-ZANE-BARBERTON"NATIONAL L&amp;S-AKRON"</t>
  </si>
  <si>
    <t>101 WEST EMERLING AVENUE</t>
  </si>
  <si>
    <t>04335-01</t>
  </si>
  <si>
    <t>RW SIDLEY-KINGSVILLE</t>
  </si>
  <si>
    <t>3062 E CENTER ST</t>
  </si>
  <si>
    <t>44068</t>
  </si>
  <si>
    <t>04337-01</t>
  </si>
  <si>
    <t>SLIPPERY ROCK MATERIALS - VOLANT</t>
  </si>
  <si>
    <t>704 GOLF COURSE RD</t>
  </si>
  <si>
    <t>VOLANT</t>
  </si>
  <si>
    <t>16156</t>
  </si>
  <si>
    <t>04339-01</t>
  </si>
  <si>
    <t>ALLIED CORP-MASSILLON</t>
  </si>
  <si>
    <t>390 WARMINGTON RD</t>
  </si>
  <si>
    <t>MASSILION</t>
  </si>
  <si>
    <t>04339-04</t>
  </si>
  <si>
    <t>ALLIED CORP-MASSILLON"SHELLY MATLS-CUYAHOGA RD"</t>
  </si>
  <si>
    <t>04339-42</t>
  </si>
  <si>
    <t>ALLIED CORP-MASSILLON"SHELLY MATLS-COPLEY"</t>
  </si>
  <si>
    <t>04339-55</t>
  </si>
  <si>
    <t>ALLIED CORP-MASSILLON"SHELLY MATLS-MEDINA"</t>
  </si>
  <si>
    <t>04339-69</t>
  </si>
  <si>
    <t>ALLIED-MASSILLON - "SHELLY MATLS-WEST 130TH"</t>
  </si>
  <si>
    <t>04344-01</t>
  </si>
  <si>
    <t>TIGER S&amp;G-MASSILLON</t>
  </si>
  <si>
    <t>411 OBERLIN AVE SW</t>
  </si>
  <si>
    <t>04344-02</t>
  </si>
  <si>
    <t>TIGER S&amp;G-MASSILLON"ACME CO-YOUNGSTOWN"</t>
  </si>
  <si>
    <t>04344-03</t>
  </si>
  <si>
    <t>TIGER S&amp;G-MASSILLON"ACME CO-N. JACKSON"</t>
  </si>
  <si>
    <t>04348-01</t>
  </si>
  <si>
    <t>BRIER HILL SLAG-YOUNGSTOWN</t>
  </si>
  <si>
    <t>251 DIVISION ST</t>
  </si>
  <si>
    <t>44502</t>
  </si>
  <si>
    <t>04352-01</t>
  </si>
  <si>
    <t>MASSILLON MATLS-MASSILLON</t>
  </si>
  <si>
    <t>2775 INDIAN RIVER RD</t>
  </si>
  <si>
    <t>04354-01</t>
  </si>
  <si>
    <t>LAFARGE-LORDSTOWN</t>
  </si>
  <si>
    <t>6205 NEWTON FALLS-BAILEY RD</t>
  </si>
  <si>
    <t>WARREN</t>
  </si>
  <si>
    <t>44481</t>
  </si>
  <si>
    <t>04356-01</t>
  </si>
  <si>
    <t>PK CRUSHING &amp; MATLS-AKRON</t>
  </si>
  <si>
    <t>550 DAN ST</t>
  </si>
  <si>
    <t>44310</t>
  </si>
  <si>
    <t>04363-01</t>
  </si>
  <si>
    <t>LAFARGE-DUQUESNE</t>
  </si>
  <si>
    <t>4810 BUTTERMILK HOLLOW RD</t>
  </si>
  <si>
    <t>WEST MIFFLIN</t>
  </si>
  <si>
    <t>15122</t>
  </si>
  <si>
    <t>04364-01</t>
  </si>
  <si>
    <t>EAST FAIRFIELD COAL-PETERSBURG</t>
  </si>
  <si>
    <t>13699 SR 170</t>
  </si>
  <si>
    <t>04364-02</t>
  </si>
  <si>
    <t>EAST FAIRFIELD COAL-PETERSBURG"ACME CO-YOUNGSTOWN"</t>
  </si>
  <si>
    <t>04364-03</t>
  </si>
  <si>
    <t>EAST FAIRFIELD-PETERSBURG"ACME CO.-N.JACKSON"</t>
  </si>
  <si>
    <t>11600 MAHONING AVENUE</t>
  </si>
  <si>
    <t>04371-01</t>
  </si>
  <si>
    <t>SOLOMON MINES-SOLOMON</t>
  </si>
  <si>
    <t>7219 SALEM-UNITY RD</t>
  </si>
  <si>
    <t>SALEM</t>
  </si>
  <si>
    <t>44460</t>
  </si>
  <si>
    <t>04372-01</t>
  </si>
  <si>
    <t>ALLIED CORP-PETERSBURG</t>
  </si>
  <si>
    <t>13484 YOUNSGSTOWN-PITTSBURGH  RD</t>
  </si>
  <si>
    <t>04372-13</t>
  </si>
  <si>
    <t>ALLIED CORP-PETERSBURG - "SHELLY MATLS-ALLIANCE"</t>
  </si>
  <si>
    <t>2000 W BEASON ST</t>
  </si>
  <si>
    <t>04372-69</t>
  </si>
  <si>
    <t>ALLIED-PETERSBURG - "SHELLY MATLS-WEST 130TH"</t>
  </si>
  <si>
    <t>04373-01</t>
  </si>
  <si>
    <t>MAR-ZANE MATERIALS-RAVENNA</t>
  </si>
  <si>
    <t>2952 WEBB RD</t>
  </si>
  <si>
    <t>04375-01</t>
  </si>
  <si>
    <t>THREE RIVERS AGGREGATES - BLACK RUN</t>
  </si>
  <si>
    <t>144 BRANDON RD</t>
  </si>
  <si>
    <t>SLIPPERY ROCK</t>
  </si>
  <si>
    <t>16057</t>
  </si>
  <si>
    <t>04376-01</t>
  </si>
  <si>
    <t>ALLEGHENY MINERAL-SLIPPERY ROCK</t>
  </si>
  <si>
    <t>273 STOUGHTON RD</t>
  </si>
  <si>
    <t>04377-01</t>
  </si>
  <si>
    <t>SOBER S&amp;G-ROOTSTOWN</t>
  </si>
  <si>
    <t>2830 TALLMADGE RD</t>
  </si>
  <si>
    <t>ROOTSTOWN</t>
  </si>
  <si>
    <t>44272</t>
  </si>
  <si>
    <t>04378-01</t>
  </si>
  <si>
    <t>BALLENTINE S&amp;G LLC-RAVENNA</t>
  </si>
  <si>
    <t>8420 WEAVER RD</t>
  </si>
  <si>
    <t>04379-01</t>
  </si>
  <si>
    <t>MASSILLON MATLS-WARMINGTON RD</t>
  </si>
  <si>
    <t>389 WARMINGTON RD SW</t>
  </si>
  <si>
    <t>04380-01</t>
  </si>
  <si>
    <t>SIMAK TRUCKING &amp; EXCAVATING-NORTH KINGSVILLE</t>
  </si>
  <si>
    <t>3052 E CENTER ST</t>
  </si>
  <si>
    <t>NORTH KINGSVILLE</t>
  </si>
  <si>
    <t>04381-01</t>
  </si>
  <si>
    <t>AMERICAN S&amp;G-HIGH MILL</t>
  </si>
  <si>
    <t>6300 HIGH MILL RD</t>
  </si>
  <si>
    <t>04385-01</t>
  </si>
  <si>
    <t>ALLEGHENY MINERAL-HARRISVILLE</t>
  </si>
  <si>
    <t>133 CAMPGROUND RD</t>
  </si>
  <si>
    <t>HARRISVILLE</t>
  </si>
  <si>
    <t>16088</t>
  </si>
  <si>
    <t>04388-01</t>
  </si>
  <si>
    <t>THREE RIVERS AGGREGATE-WAMPUM QUARRY</t>
  </si>
  <si>
    <t>3118 WAMPUM RD</t>
  </si>
  <si>
    <t>16137</t>
  </si>
  <si>
    <t>04389-01</t>
  </si>
  <si>
    <t>PORTAGE AGGREGATE &amp; SUPPLY-SHALERSVILLE</t>
  </si>
  <si>
    <t>4022 SR 303</t>
  </si>
  <si>
    <t>SHALLERSVILLE</t>
  </si>
  <si>
    <t>04390-04</t>
  </si>
  <si>
    <t>SHELLY MATLS-SHALERSVILLE"SHELLY MATLS-CUYAHOGA R"</t>
  </si>
  <si>
    <t>04390-55</t>
  </si>
  <si>
    <t>SHELLY MATLS-SHALERSVILLE N"SHELLY MATLS-MEDINA"</t>
  </si>
  <si>
    <t>04390-69</t>
  </si>
  <si>
    <t>SHELLY MATLS-SHALERSVILLE"SHELLY MATLS-WEST 130TH"</t>
  </si>
  <si>
    <t>04392-01</t>
  </si>
  <si>
    <t>ALLEGHENY MINERAL-PRINCETON</t>
  </si>
  <si>
    <t>893 MOUNT HOPE FURNACE RD</t>
  </si>
  <si>
    <t>PORTERSVILLE</t>
  </si>
  <si>
    <t>16051</t>
  </si>
  <si>
    <t>04394-01</t>
  </si>
  <si>
    <t>SUBTROPOLIS MINING-PETERSBURG</t>
  </si>
  <si>
    <t>5455 E GARFIELD RD</t>
  </si>
  <si>
    <t>04394-02</t>
  </si>
  <si>
    <t>SUBTROPOLIS MINING-PETERSBURG"ACME CO-YOUNGSTOWN"</t>
  </si>
  <si>
    <t>04394-03</t>
  </si>
  <si>
    <t>SUBTROPOLIS MINING-PETERSBURG"ACME CO-N.JACKSON"</t>
  </si>
  <si>
    <t>04394-12</t>
  </si>
  <si>
    <t>SUBTROPILIS-PETERSBURG"MAR-ZANE-WEIRTON, WV"</t>
  </si>
  <si>
    <t>4260 FREEDOM WAY</t>
  </si>
  <si>
    <t>WEIRTON</t>
  </si>
  <si>
    <t>WV</t>
  </si>
  <si>
    <t>26062</t>
  </si>
  <si>
    <t>04395-01</t>
  </si>
  <si>
    <t>THREE RIVERS AGGREGATES-SLIPPERY ROCK</t>
  </si>
  <si>
    <t>1288 REESE RD</t>
  </si>
  <si>
    <t>04396-01</t>
  </si>
  <si>
    <t>DOREN-TAYLOR</t>
  </si>
  <si>
    <t>2687 VALLEY RD.</t>
  </si>
  <si>
    <t>MERCER</t>
  </si>
  <si>
    <t>04397-01</t>
  </si>
  <si>
    <t>D&amp;K MATLS-MOGADORE</t>
  </si>
  <si>
    <t>3019 CONGRESS LAKE RD</t>
  </si>
  <si>
    <t>MOGADORE</t>
  </si>
  <si>
    <t>44260</t>
  </si>
  <si>
    <t>04399-01</t>
  </si>
  <si>
    <t>SUFFIELD AGG-MOGADORE</t>
  </si>
  <si>
    <t>725 SR 224</t>
  </si>
  <si>
    <t>44620</t>
  </si>
  <si>
    <t>04402-01</t>
  </si>
  <si>
    <t>SHELLY MATLS-DRESDEN</t>
  </si>
  <si>
    <t>1985 GENE COX MEMORIAL DR</t>
  </si>
  <si>
    <t>DRESDEN</t>
  </si>
  <si>
    <t>43821</t>
  </si>
  <si>
    <t>04403-01</t>
  </si>
  <si>
    <t>SHELLY MATLS-COSHOCTON</t>
  </si>
  <si>
    <t>45500 COUNTY RD 23</t>
  </si>
  <si>
    <t>04403-75</t>
  </si>
  <si>
    <t>SHELLY MATLS-COSHOCTON - "SHELLY MATLS_DERWENT"</t>
  </si>
  <si>
    <t>04405-01</t>
  </si>
  <si>
    <t>UNITED AGG-DANVILLE</t>
  </si>
  <si>
    <t>16364 MILLERSBURG RD</t>
  </si>
  <si>
    <t>DANVILLE</t>
  </si>
  <si>
    <t>43104</t>
  </si>
  <si>
    <t>04407-01</t>
  </si>
  <si>
    <t>SHELLY MATLS-ST. LOUISVILLE</t>
  </si>
  <si>
    <t>6824 MOUNT VERNON RD</t>
  </si>
  <si>
    <t>ST. LOUISVILLE</t>
  </si>
  <si>
    <t>43055</t>
  </si>
  <si>
    <t>04409-01</t>
  </si>
  <si>
    <t>UNITED AGG-MT.VERNON</t>
  </si>
  <si>
    <t>14220 PARROTT ST</t>
  </si>
  <si>
    <t>MT. VERNON</t>
  </si>
  <si>
    <t>43050</t>
  </si>
  <si>
    <t>04410-01</t>
  </si>
  <si>
    <t>OLEN CORP-ST. LOUISVILLE</t>
  </si>
  <si>
    <t>9134 MT VERNON RD</t>
  </si>
  <si>
    <t>43071</t>
  </si>
  <si>
    <t>04413-01</t>
  </si>
  <si>
    <t>SHELLY MATLS-E.FULTONHAM</t>
  </si>
  <si>
    <t>6305 SALTILLO RD SR 345</t>
  </si>
  <si>
    <t>EAST FULTONHAM</t>
  </si>
  <si>
    <t>43735</t>
  </si>
  <si>
    <t>04413-75</t>
  </si>
  <si>
    <t>SHELLY MATLS-E.FULTONHAM - "SHELLY MATLS-DERWENT"</t>
  </si>
  <si>
    <t>11167 CLAY PIKE RD</t>
  </si>
  <si>
    <t>04413-84</t>
  </si>
  <si>
    <t>SHELLY MATLS-E. FULTONHAM"SHELLY MATLS-LANCASTER"</t>
  </si>
  <si>
    <t>3232 LOGAN-LANCASTER RD</t>
  </si>
  <si>
    <t>LANCASTER</t>
  </si>
  <si>
    <t>43130</t>
  </si>
  <si>
    <t>04416-01</t>
  </si>
  <si>
    <t>MAR-ZANE MATERIALS - ZANESVILLE</t>
  </si>
  <si>
    <t>4330 S RIVER RD</t>
  </si>
  <si>
    <t>ZANESVILLE</t>
  </si>
  <si>
    <t>43701</t>
  </si>
  <si>
    <t>04416-75</t>
  </si>
  <si>
    <t>MAR-ZANE MATLS-ZANESVILLE - "SHELLY MATLS-DERWENT"</t>
  </si>
  <si>
    <t>04418-01</t>
  </si>
  <si>
    <t>CUMBERLAND LIMESTONE-CUMBERLAND</t>
  </si>
  <si>
    <t>53681 SPENCER RD</t>
  </si>
  <si>
    <t>CUMBERLAND</t>
  </si>
  <si>
    <t>43732</t>
  </si>
  <si>
    <t>04419-01</t>
  </si>
  <si>
    <t>SMALLS S&amp;G-GAMBIER</t>
  </si>
  <si>
    <t>10299 KILLDUFF RD</t>
  </si>
  <si>
    <t>GAMBIER</t>
  </si>
  <si>
    <t>43022</t>
  </si>
  <si>
    <t>04420-01</t>
  </si>
  <si>
    <t>OLEN CORP-FREDERICKTOWN</t>
  </si>
  <si>
    <t>11624 HYATT RD</t>
  </si>
  <si>
    <t>FREDERICKTOWN</t>
  </si>
  <si>
    <t>43019</t>
  </si>
  <si>
    <t>04423-01</t>
  </si>
  <si>
    <t>RAZOR LAKE S&amp;G-NEWCOMERSTOWN</t>
  </si>
  <si>
    <t>59894 CR 9</t>
  </si>
  <si>
    <t>NEWCOMERSTOWN</t>
  </si>
  <si>
    <t>43832</t>
  </si>
  <si>
    <t>04430-01</t>
  </si>
  <si>
    <t>BROOKSIDE MATERIALS - BROOKSIDE</t>
  </si>
  <si>
    <t>2409 JOHNSTOWN ALEXANDRIA RD</t>
  </si>
  <si>
    <t>ALEXANDRIA</t>
  </si>
  <si>
    <t>43001</t>
  </si>
  <si>
    <t>04432-01</t>
  </si>
  <si>
    <t>WILLIAM ALBERT-COSHOCTON</t>
  </si>
  <si>
    <t>1300 CASSINGHAM HOLLOW RD</t>
  </si>
  <si>
    <t>04434-01</t>
  </si>
  <si>
    <t>NEWARK MATERIALS-NEWARK</t>
  </si>
  <si>
    <t>2232 SLEEPY HOLLOW RD</t>
  </si>
  <si>
    <t>NEWARK</t>
  </si>
  <si>
    <t>04435-01</t>
  </si>
  <si>
    <t>MAYSVILLE MATERIALS-MOUNT PERRY</t>
  </si>
  <si>
    <t>6535 OLD TOWN RD</t>
  </si>
  <si>
    <t>MOUNT PERRY</t>
  </si>
  <si>
    <t>43760</t>
  </si>
  <si>
    <t>04436-01</t>
  </si>
  <si>
    <t>SEARGENT STONE-CORNING</t>
  </si>
  <si>
    <t>1425 SR 555 NE</t>
  </si>
  <si>
    <t>CORNING</t>
  </si>
  <si>
    <t>43730</t>
  </si>
  <si>
    <t>04438-01</t>
  </si>
  <si>
    <t>CLARK CLAY - NEWCOMERSTOWN</t>
  </si>
  <si>
    <t>59260 CR 9</t>
  </si>
  <si>
    <t>04502-01</t>
  </si>
  <si>
    <t>SHELLY MATLS-COLUMBUS LIMESTONE</t>
  </si>
  <si>
    <t>3300 JACKSON PIKE</t>
  </si>
  <si>
    <t>GROVE CITY</t>
  </si>
  <si>
    <t>43123</t>
  </si>
  <si>
    <t>04503-01</t>
  </si>
  <si>
    <t>SHELLY MATLS-COLUMBUS GRAVEL</t>
  </si>
  <si>
    <t>04503-84</t>
  </si>
  <si>
    <t>SHELLY MATLS-COLUMBUS GR"SHELLY MATLS-LANCASTER"</t>
  </si>
  <si>
    <t>04504-01</t>
  </si>
  <si>
    <t>SHELLY MATLS-MARBLE CLIFF</t>
  </si>
  <si>
    <t>2650 OLD DUBLIN RD</t>
  </si>
  <si>
    <t>HILLIARD</t>
  </si>
  <si>
    <t>43026</t>
  </si>
  <si>
    <t>04505-01</t>
  </si>
  <si>
    <t>NATIONAL L&amp;S-DELAWARE</t>
  </si>
  <si>
    <t>2406 S SECTION LINE RD</t>
  </si>
  <si>
    <t>DELAWARE</t>
  </si>
  <si>
    <t>43015</t>
  </si>
  <si>
    <t>04505-22</t>
  </si>
  <si>
    <t>NATIONAL L&amp;S-DELAWARE"NATIONAL L&amp;S-CANTON"</t>
  </si>
  <si>
    <t>04505-63</t>
  </si>
  <si>
    <t>NATIONAL L&amp;S-DELAWARE"NATIONAL L&amp;S-CLEVELAND"</t>
  </si>
  <si>
    <t>04505-74</t>
  </si>
  <si>
    <t>NATIONAL L&amp;S-DELAWARE "NATIONAL L&amp;S-CAMBRIDGE"</t>
  </si>
  <si>
    <t>04509-01</t>
  </si>
  <si>
    <t>OLEN CORP-COLUMBUS GRAVEL</t>
  </si>
  <si>
    <t>4755 S. HIGH ST</t>
  </si>
  <si>
    <t>COLUMBUS</t>
  </si>
  <si>
    <t>43207</t>
  </si>
  <si>
    <t>04511-01</t>
  </si>
  <si>
    <t>MELVIN STONE-WILLIAMSPORT</t>
  </si>
  <si>
    <t>13124 CROWNOVER RD</t>
  </si>
  <si>
    <t>NEW HOLLAND</t>
  </si>
  <si>
    <t>43145</t>
  </si>
  <si>
    <t>04512-01</t>
  </si>
  <si>
    <t>NATIONAL L&amp;S-MARION</t>
  </si>
  <si>
    <t>700 LIKENS RD</t>
  </si>
  <si>
    <t>MARION</t>
  </si>
  <si>
    <t>43302</t>
  </si>
  <si>
    <t>04513-01</t>
  </si>
  <si>
    <t>SHELLY MATLS-YORK CENTER</t>
  </si>
  <si>
    <t>28855 SR 739</t>
  </si>
  <si>
    <t>WEST MANSFIELD</t>
  </si>
  <si>
    <t>43358</t>
  </si>
  <si>
    <t>04516-01</t>
  </si>
  <si>
    <t>TUFFCO S&amp;G-PLAIN CITY</t>
  </si>
  <si>
    <t>8195 OLD SR 161</t>
  </si>
  <si>
    <t>PLAIN CITY</t>
  </si>
  <si>
    <t>43064</t>
  </si>
  <si>
    <t>04519-01</t>
  </si>
  <si>
    <t>SHELLY MATLS-OSTRANDER</t>
  </si>
  <si>
    <t>8328 WATKINS RD</t>
  </si>
  <si>
    <t>OSTRANDER</t>
  </si>
  <si>
    <t>43061</t>
  </si>
  <si>
    <t>04521-01</t>
  </si>
  <si>
    <t>NATIONAL L&amp;S-CHESTERVILLE</t>
  </si>
  <si>
    <t>7250 SR 95 E</t>
  </si>
  <si>
    <t>CHESTERVILLE</t>
  </si>
  <si>
    <t>43317</t>
  </si>
  <si>
    <t>04523-01</t>
  </si>
  <si>
    <t>SHELLY MATLS-LOCKBOURNE</t>
  </si>
  <si>
    <t>433 LONDON-GROVEPORT RD</t>
  </si>
  <si>
    <t>LOCKBOURNE</t>
  </si>
  <si>
    <t>43137</t>
  </si>
  <si>
    <t>04526-01</t>
  </si>
  <si>
    <t>MELVIN STONE-CIRCLEVILLE</t>
  </si>
  <si>
    <t>24267 CANAL RD</t>
  </si>
  <si>
    <t>CIRCLEVILLE</t>
  </si>
  <si>
    <t>43113</t>
  </si>
  <si>
    <t>04535-01</t>
  </si>
  <si>
    <t>WESTFALL AGG &amp; MATLS-HILL ROAD</t>
  </si>
  <si>
    <t>19522 LONDON RD</t>
  </si>
  <si>
    <t>04538-01</t>
  </si>
  <si>
    <t>OLEN CORP-COLUMBUS LIMESTONE</t>
  </si>
  <si>
    <t>4755 S HIGH ST</t>
  </si>
  <si>
    <t>04539-01</t>
  </si>
  <si>
    <t>NATIONAL L&amp;S-GROVE CITY</t>
  </si>
  <si>
    <t>3850 JACKSON PIKE</t>
  </si>
  <si>
    <t>43213</t>
  </si>
  <si>
    <t>04540-01</t>
  </si>
  <si>
    <t>PHOENIX SERVICES-MARION</t>
  </si>
  <si>
    <t>3422 HARDING HIGHWAY E</t>
  </si>
  <si>
    <t>04541-01</t>
  </si>
  <si>
    <t>NATIONAL L&amp;S- NEW SOUTH COLUMBUS</t>
  </si>
  <si>
    <t>9311 US 23</t>
  </si>
  <si>
    <t>04601-01</t>
  </si>
  <si>
    <t>MARTIN MARIETTA-FAIRBORN</t>
  </si>
  <si>
    <t>12063 LOWER VALLEY PIKE</t>
  </si>
  <si>
    <t>MEDWAY</t>
  </si>
  <si>
    <t>45341</t>
  </si>
  <si>
    <t>04604-01</t>
  </si>
  <si>
    <t>MARTIN MARIETTA-PHILLIPSBURG</t>
  </si>
  <si>
    <t>9843 DAYTON-GREENVILLE PIKE</t>
  </si>
  <si>
    <t>BROOKVILLE</t>
  </si>
  <si>
    <t>45309</t>
  </si>
  <si>
    <t>04607-01</t>
  </si>
  <si>
    <t>MARTIN MARIETTA-TROY</t>
  </si>
  <si>
    <t>250 DYE MILL RD</t>
  </si>
  <si>
    <t>TROY</t>
  </si>
  <si>
    <t>45373</t>
  </si>
  <si>
    <t>04608-01</t>
  </si>
  <si>
    <t>BARRETT PAVING-FAIRBORN</t>
  </si>
  <si>
    <t>10400 HADDIX RD</t>
  </si>
  <si>
    <t>FAIRBORN</t>
  </si>
  <si>
    <t>45324</t>
  </si>
  <si>
    <t>04609-01</t>
  </si>
  <si>
    <t>BARRETT PAVING-LUDLOW FALLS</t>
  </si>
  <si>
    <t>3244 S DAVIS RD</t>
  </si>
  <si>
    <t>LUDLOW FALLS</t>
  </si>
  <si>
    <t>45339</t>
  </si>
  <si>
    <t>04611-01</t>
  </si>
  <si>
    <t>ENON S&amp;G-ENON</t>
  </si>
  <si>
    <t>1665 ENON RD</t>
  </si>
  <si>
    <t>ENON</t>
  </si>
  <si>
    <t>45502</t>
  </si>
  <si>
    <t>04612-01</t>
  </si>
  <si>
    <t>MILTON MATERIALS-LUDLOW FALLS</t>
  </si>
  <si>
    <t>7131 FENNER RD</t>
  </si>
  <si>
    <t>04613-01</t>
  </si>
  <si>
    <t>BARRETT PAVING MATLS-W.CARROLLTON</t>
  </si>
  <si>
    <t>4710 SOLDERS HOME RD</t>
  </si>
  <si>
    <t>MIAMISBURG</t>
  </si>
  <si>
    <t>45342</t>
  </si>
  <si>
    <t>04614-01</t>
  </si>
  <si>
    <t>PHILLIPS COMPANIES-VANDALIA</t>
  </si>
  <si>
    <t>555 OLD SPRINGFIELD RD</t>
  </si>
  <si>
    <t>VANDALIA</t>
  </si>
  <si>
    <t>45377</t>
  </si>
  <si>
    <t>04615-01</t>
  </si>
  <si>
    <t>PIQUA MATERIALS-W. STATLER RD</t>
  </si>
  <si>
    <t>1750 W STATLER RD</t>
  </si>
  <si>
    <t>PIQUA</t>
  </si>
  <si>
    <t>45356</t>
  </si>
  <si>
    <t>04622-01</t>
  </si>
  <si>
    <t>STONECO-CELINA</t>
  </si>
  <si>
    <t>6430 KARSH RD</t>
  </si>
  <si>
    <t>CELINA</t>
  </si>
  <si>
    <t>45822</t>
  </si>
  <si>
    <t>04624-01</t>
  </si>
  <si>
    <t>BARRETT PAVING MATLS-HARDIN</t>
  </si>
  <si>
    <t>4723 HARDIN WAPAK RD</t>
  </si>
  <si>
    <t>SIDNEY</t>
  </si>
  <si>
    <t>45365</t>
  </si>
  <si>
    <t>04626-01</t>
  </si>
  <si>
    <t>SHELLY MATLS-BELLE CENTER</t>
  </si>
  <si>
    <t>1558 CR 105</t>
  </si>
  <si>
    <t>BELLE CENTER</t>
  </si>
  <si>
    <t>43310</t>
  </si>
  <si>
    <t>04628-01</t>
  </si>
  <si>
    <t>URBANA MATLS-MUZZY RD</t>
  </si>
  <si>
    <t>1261 MUZZY RD</t>
  </si>
  <si>
    <t>URBANA</t>
  </si>
  <si>
    <t>43078</t>
  </si>
  <si>
    <t>04629-01</t>
  </si>
  <si>
    <t>NEERS S&amp;G-BELLEFONTAINE</t>
  </si>
  <si>
    <t>4859 CO RD 45</t>
  </si>
  <si>
    <t>BELLEFONTAINE</t>
  </si>
  <si>
    <t>43311</t>
  </si>
  <si>
    <t>04630-01</t>
  </si>
  <si>
    <t>FOUREMANS S&amp;G-GREENVILLE</t>
  </si>
  <si>
    <t>2791 WILDCAT RD</t>
  </si>
  <si>
    <t>GREENVILLE</t>
  </si>
  <si>
    <t>45331</t>
  </si>
  <si>
    <t>04631-01</t>
  </si>
  <si>
    <t>C.F. POEPPELMAN-BRADFORD</t>
  </si>
  <si>
    <t>4755 N. SR 721</t>
  </si>
  <si>
    <t>BRADFORD</t>
  </si>
  <si>
    <t>45308</t>
  </si>
  <si>
    <t>04632-01</t>
  </si>
  <si>
    <t>CORNERSTONE CRUSHING-ST.MARY'S</t>
  </si>
  <si>
    <t>16672 CR 66A</t>
  </si>
  <si>
    <t>ST. MARYS</t>
  </si>
  <si>
    <t>45885</t>
  </si>
  <si>
    <t>04637-01</t>
  </si>
  <si>
    <t>MECHANICSBURG S&amp;G-MECHANICSBURG</t>
  </si>
  <si>
    <t>5734 SR 4</t>
  </si>
  <si>
    <t>MECHANICSBURG</t>
  </si>
  <si>
    <t>43044</t>
  </si>
  <si>
    <t>04638-01</t>
  </si>
  <si>
    <t>DUFF QUARRY-HUNTSVILLE</t>
  </si>
  <si>
    <t>9042 SR 117</t>
  </si>
  <si>
    <t>HUNTSVILLE</t>
  </si>
  <si>
    <t>43324</t>
  </si>
  <si>
    <t>04650-01</t>
  </si>
  <si>
    <t>WEIDLE S&amp;G-GERMANTOWN</t>
  </si>
  <si>
    <t>9330 ECKHART RD</t>
  </si>
  <si>
    <t>GERMANTOWN</t>
  </si>
  <si>
    <t>45327</t>
  </si>
  <si>
    <t>04652-01</t>
  </si>
  <si>
    <t>SHELLY MATLS-SPRINGFIELD</t>
  </si>
  <si>
    <t>4301 S CHARLESTON PIKE</t>
  </si>
  <si>
    <t>SPRINGFIELD</t>
  </si>
  <si>
    <t>04703-01</t>
  </si>
  <si>
    <t>MARTIN MARIETTA-FAIRFIELD</t>
  </si>
  <si>
    <t>107 RIVER CIRCLE</t>
  </si>
  <si>
    <t>FAIRFIELD</t>
  </si>
  <si>
    <t>45014</t>
  </si>
  <si>
    <t>04705-01</t>
  </si>
  <si>
    <t>MARTIN MARIETTA-FRANKLIN S&amp;G</t>
  </si>
  <si>
    <t>7533 FRANKLIN-TRENTON RD</t>
  </si>
  <si>
    <t>FRANKLIN</t>
  </si>
  <si>
    <t>45005</t>
  </si>
  <si>
    <t>04707-01</t>
  </si>
  <si>
    <t>MELVIN STONE-MIDDLETOWN</t>
  </si>
  <si>
    <t>3024 OXFORD SR</t>
  </si>
  <si>
    <t>MIDDLETOWN</t>
  </si>
  <si>
    <t>45044</t>
  </si>
  <si>
    <t>04708-01</t>
  </si>
  <si>
    <t>MARTIN MARIETTA-HAMILTON</t>
  </si>
  <si>
    <t>4000 HAMILTON-TRENTON RD</t>
  </si>
  <si>
    <t>HAMILTON</t>
  </si>
  <si>
    <t>45011</t>
  </si>
  <si>
    <t>04709-01</t>
  </si>
  <si>
    <t>U.S. AGGREGATES-RICHMOND</t>
  </si>
  <si>
    <t>6340 SR 121</t>
  </si>
  <si>
    <t>RICHMOND</t>
  </si>
  <si>
    <t>47374</t>
  </si>
  <si>
    <t>04711-01</t>
  </si>
  <si>
    <t>MARTIN MARIETTA-XENIA</t>
  </si>
  <si>
    <t>1337 DAYTON-XENIA RD</t>
  </si>
  <si>
    <t>XENIA</t>
  </si>
  <si>
    <t>45385</t>
  </si>
  <si>
    <t>04715-01</t>
  </si>
  <si>
    <t>MARTIN MARIETTA-ROSS</t>
  </si>
  <si>
    <t>3900 KRAUS LANE</t>
  </si>
  <si>
    <t>ROSS</t>
  </si>
  <si>
    <t>04719-06</t>
  </si>
  <si>
    <t>HILLTOP BASIC-PATRIOT"HILLTOP BASIC- E.CINCINNATI"</t>
  </si>
  <si>
    <t>6777 KELLOGG AVE</t>
  </si>
  <si>
    <t>04719-07</t>
  </si>
  <si>
    <t>HILLTOP BASIC-PATRIOT"HILLTOP BASIC-DOWNTOWN CIN"</t>
  </si>
  <si>
    <t>511 W. WATER ST</t>
  </si>
  <si>
    <t>45202</t>
  </si>
  <si>
    <t>04721-01</t>
  </si>
  <si>
    <t>MELVIN STONE-MELVIN</t>
  </si>
  <si>
    <t>228 MELVIN RD</t>
  </si>
  <si>
    <t>WILMINGTON</t>
  </si>
  <si>
    <t>45177</t>
  </si>
  <si>
    <t>04721-16</t>
  </si>
  <si>
    <t>MELVIN STONE-MELVIN"MARTIN MARIETTA-KELLOG AVE"</t>
  </si>
  <si>
    <t>4345 KELLOG AVE</t>
  </si>
  <si>
    <t>04721-76</t>
  </si>
  <si>
    <t>MELVIN STONE-MELVIN "MELVIN STONE-WILMER"</t>
  </si>
  <si>
    <t>4686 WILMER COURT</t>
  </si>
  <si>
    <t>04721-77</t>
  </si>
  <si>
    <t>MELVIN STONE-MELVIN "MELVIN STONE-LOGAN"</t>
  </si>
  <si>
    <t>251 CALIFORNIA AVE</t>
  </si>
  <si>
    <t>LOGAN</t>
  </si>
  <si>
    <t>43138</t>
  </si>
  <si>
    <t>04723-01</t>
  </si>
  <si>
    <t>MIAMI VIEW MINING-MORROW</t>
  </si>
  <si>
    <t>912 E MASON-MORROW-MILGROVE RD</t>
  </si>
  <si>
    <t>MORROW</t>
  </si>
  <si>
    <t>45152</t>
  </si>
  <si>
    <t>04724-01</t>
  </si>
  <si>
    <t>OEDER &amp; SONS S&amp;G-LEBANON</t>
  </si>
  <si>
    <t>1000 W MASON MORROW MILLGROVE RD</t>
  </si>
  <si>
    <t>LEBANON</t>
  </si>
  <si>
    <t>45036</t>
  </si>
  <si>
    <t>04725-01</t>
  </si>
  <si>
    <t>PHILLIPS-XENIA</t>
  </si>
  <si>
    <t>30 HAINES RD</t>
  </si>
  <si>
    <t>04726-01</t>
  </si>
  <si>
    <t>MARTIN MARIETTA-SHAMROCK</t>
  </si>
  <si>
    <t>2900 WOODSDALE RD</t>
  </si>
  <si>
    <t>TRENTON</t>
  </si>
  <si>
    <t>45067</t>
  </si>
  <si>
    <t>04729-01</t>
  </si>
  <si>
    <t>WATSON GRAVEL-ROSS</t>
  </si>
  <si>
    <t>2728 HAMILTON-CLEVES RD</t>
  </si>
  <si>
    <t>45013</t>
  </si>
  <si>
    <t>04730-01</t>
  </si>
  <si>
    <t>EAGLE MATERIALS-GERMANTOWN</t>
  </si>
  <si>
    <t>9661 SUGAR ST</t>
  </si>
  <si>
    <t>04733-01</t>
  </si>
  <si>
    <t>WELCH S&amp;G-ROSS</t>
  </si>
  <si>
    <t>11489 HAMILTON CLEVES HIGHWAY</t>
  </si>
  <si>
    <t>HARRISON</t>
  </si>
  <si>
    <t>45030</t>
  </si>
  <si>
    <t>04734-01</t>
  </si>
  <si>
    <t>WYSONG GRAVEL-CAMDEN</t>
  </si>
  <si>
    <t>230 CAMDEN COLLEGE CORNER RD</t>
  </si>
  <si>
    <t>CAMDEN</t>
  </si>
  <si>
    <t>45311</t>
  </si>
  <si>
    <t>04736-01</t>
  </si>
  <si>
    <t>WYSONG GRAVEL-W.ALEXANDRIA</t>
  </si>
  <si>
    <t>2032 SR 503 N</t>
  </si>
  <si>
    <t>WEST ALEXANDRIA</t>
  </si>
  <si>
    <t>45381</t>
  </si>
  <si>
    <t>04737-01</t>
  </si>
  <si>
    <t>MARTIN MARIETTA-CEDARVILLE</t>
  </si>
  <si>
    <t>3744 TURNBULL RD</t>
  </si>
  <si>
    <t>CEDARVILLE</t>
  </si>
  <si>
    <t>45314</t>
  </si>
  <si>
    <t>04738-12</t>
  </si>
  <si>
    <t>CARMEUSE-MAYSVILLE"MAR-ZANE-WEIRTON"</t>
  </si>
  <si>
    <t>04738-14</t>
  </si>
  <si>
    <t>CARMEUSE-MAYSVILLE"MARTIN MARIETTA-PARKERSBURG"</t>
  </si>
  <si>
    <t>99 KANAWHA ST</t>
  </si>
  <si>
    <t>PARKERSBURG</t>
  </si>
  <si>
    <t>26101</t>
  </si>
  <si>
    <t>04738-16</t>
  </si>
  <si>
    <t>CARMEUSE-MAYSVILLE"MARTIN MARIETTA-KELLOGG"</t>
  </si>
  <si>
    <t>4345 KELLOGG AVE</t>
  </si>
  <si>
    <t>04738-17</t>
  </si>
  <si>
    <t>CARMEUSE-MAYSVILLE"MARTIN MAR-RAVENSWOOD,WVA"</t>
  </si>
  <si>
    <t>105 SYCAMORE STREET</t>
  </si>
  <si>
    <t>RAVENSWOOD</t>
  </si>
  <si>
    <t>26164</t>
  </si>
  <si>
    <t>04738-39</t>
  </si>
  <si>
    <t>CARMEUSE-MAYSVILLE"MARTIN MAR-NEW MARTINSVILLE"</t>
  </si>
  <si>
    <t>195 WETZEL STREET</t>
  </si>
  <si>
    <t>NEW MARTINSVILLE</t>
  </si>
  <si>
    <t>26155</t>
  </si>
  <si>
    <t>04738-57</t>
  </si>
  <si>
    <t>CARMEUSE-MAYSVILLE"EATON ASPHALT-MAYSVILLE,KY"</t>
  </si>
  <si>
    <t>9222 SPRINGDALE RD</t>
  </si>
  <si>
    <t>MAYSVILLE</t>
  </si>
  <si>
    <t>KY</t>
  </si>
  <si>
    <t>41056</t>
  </si>
  <si>
    <t>04738-81</t>
  </si>
  <si>
    <t>CARMEUSE-MAYSVILLE"NATIONAL L&amp;S-NEW MARTINSVILLE"</t>
  </si>
  <si>
    <t>04738-89</t>
  </si>
  <si>
    <t>CARMEUSE-MAYSVILLE"YAGER MATLS-BEAVERTOWN"</t>
  </si>
  <si>
    <t>46450 SR 7</t>
  </si>
  <si>
    <t>NEW MATAMORAS</t>
  </si>
  <si>
    <t>45767</t>
  </si>
  <si>
    <t>04740-71</t>
  </si>
  <si>
    <t>HAYDON MATLS-BATTLETOWN"NATIONAL L&amp;S-WILLIAMTOWN"</t>
  </si>
  <si>
    <t>5067 WILLIAMS HIGHWAY</t>
  </si>
  <si>
    <t>WILLIAMSTOWN</t>
  </si>
  <si>
    <t>26187</t>
  </si>
  <si>
    <t>04740-81</t>
  </si>
  <si>
    <t>HAYDON MATLS-BATTLETOWN"NATIONAL-NEW MARTINSVILLE"</t>
  </si>
  <si>
    <t>04740-89</t>
  </si>
  <si>
    <t>HAYDON MATLS-BATTLETOWN"YAGER MATLS-BEAVERTOWN"</t>
  </si>
  <si>
    <t>04741-14</t>
  </si>
  <si>
    <t>CARMEUSE-BLACK RIVER"MARTIN MARIETTA-PARKERSBURG"</t>
  </si>
  <si>
    <t>04741-16</t>
  </si>
  <si>
    <t>CARMEUSE-BLACK RIVER"MARTIN MARIETTA-KELLOGG"</t>
  </si>
  <si>
    <t>04741-17</t>
  </si>
  <si>
    <t>CARMUESE-BLACK RIVER"M.M.-RAVENSWOOD,WV YARD"</t>
  </si>
  <si>
    <t>04741-39</t>
  </si>
  <si>
    <t>CARMEUSE-BLACK RIVER"M.M.-NEW MARTINSVILE WV YARD"</t>
  </si>
  <si>
    <t>04744-01</t>
  </si>
  <si>
    <t>WATSON GRAVEL-MIDDLETOWN</t>
  </si>
  <si>
    <t>2100 S MAIN ST</t>
  </si>
  <si>
    <t>04745-01</t>
  </si>
  <si>
    <t>NORTHERN KENTUCKY AGG-PETERSBURG</t>
  </si>
  <si>
    <t>3743 BELLVIEW RD</t>
  </si>
  <si>
    <t>41080</t>
  </si>
  <si>
    <t>04747-01</t>
  </si>
  <si>
    <t>BARRETT PAVING-RICHMOND</t>
  </si>
  <si>
    <t>5834 INKE RD</t>
  </si>
  <si>
    <t>04749-01</t>
  </si>
  <si>
    <t>MARTIN MARIETTA- E-TOWN S&amp;G</t>
  </si>
  <si>
    <t>10905 US HIGHWAY 50</t>
  </si>
  <si>
    <t>NORTH BEND</t>
  </si>
  <si>
    <t>45052</t>
  </si>
  <si>
    <t>04750-01</t>
  </si>
  <si>
    <t>IRVING MATERIALS-CONNERSVILLE</t>
  </si>
  <si>
    <t>1998 S SR 121</t>
  </si>
  <si>
    <t>CONNERSVILLE</t>
  </si>
  <si>
    <t>47331</t>
  </si>
  <si>
    <t>04766-01</t>
  </si>
  <si>
    <t>SOUTHERN OHIO AGG-CLEVES</t>
  </si>
  <si>
    <t>5073 KILBY RD</t>
  </si>
  <si>
    <t>CLEVES</t>
  </si>
  <si>
    <t>45002</t>
  </si>
  <si>
    <t>04769-33</t>
  </si>
  <si>
    <t>MULZER-NEW AMSTERDAM"PRICE INLAND-BELPRE"</t>
  </si>
  <si>
    <t>3059 WASHINGTON BLVD.</t>
  </si>
  <si>
    <t>BELPRE</t>
  </si>
  <si>
    <t>45714</t>
  </si>
  <si>
    <t>04769-35</t>
  </si>
  <si>
    <t>MULZER-AMSTERDAM"SMITH CONCRETE-MARIETTA"</t>
  </si>
  <si>
    <t>PO BOX 356</t>
  </si>
  <si>
    <t>MARIETTA</t>
  </si>
  <si>
    <t>45750</t>
  </si>
  <si>
    <t>04769-36</t>
  </si>
  <si>
    <t>MULZER-NEW AMSTERDAM"SHELLY MATLS-GALLIPOLIS"</t>
  </si>
  <si>
    <t>1248 STATE ROUTE 7</t>
  </si>
  <si>
    <t>45669</t>
  </si>
  <si>
    <t>04769-44</t>
  </si>
  <si>
    <t>MULZER-NEW AMSTERDAM"MAR-ZANE MATERIALS-BENWOOD"</t>
  </si>
  <si>
    <t>1 INDUSTRIAL PARK DR</t>
  </si>
  <si>
    <t>BENWOOD</t>
  </si>
  <si>
    <t>26031</t>
  </si>
  <si>
    <t>04769-45</t>
  </si>
  <si>
    <t>MULZER-NEW AMSTERDAM"MAR-ZANE MATERIALS-MARIETTA"</t>
  </si>
  <si>
    <t>45450 SR 7</t>
  </si>
  <si>
    <t>04769-80</t>
  </si>
  <si>
    <t>MULZER-NEW AMSTERDAM"SIDWELL MATLS-BELLAIRE AGG"</t>
  </si>
  <si>
    <t>5300 GUERNSEY ST</t>
  </si>
  <si>
    <t>BELLAIRE</t>
  </si>
  <si>
    <t>43906</t>
  </si>
  <si>
    <t>04769-81</t>
  </si>
  <si>
    <t>MULZER-NEW AMSTERDAM"NATIONAL-NEW MARTINSVILLE"</t>
  </si>
  <si>
    <t>04769-85</t>
  </si>
  <si>
    <t>MULZER-NEW AMSTERDAM"MAR-ZANE MATLS-ST. MARY'S"</t>
  </si>
  <si>
    <t>123 DODD DR</t>
  </si>
  <si>
    <t>ST. MARY'S</t>
  </si>
  <si>
    <t>26170</t>
  </si>
  <si>
    <t>04771-06</t>
  </si>
  <si>
    <t>HILLTOP BASIC-BIG BEND"HILLTOP BASIC-E.CINCINNATI"</t>
  </si>
  <si>
    <t>04771-07</t>
  </si>
  <si>
    <t>HILLTOP BASIC-BIG BEND"HILLTOP BASIC-DOWNTOWN CIN"</t>
  </si>
  <si>
    <t>511 W. WATER ST.</t>
  </si>
  <si>
    <t>04771-50</t>
  </si>
  <si>
    <t>HILLTOP BASIC-BIG BEND"OHIO RIVER AGG-MOUNDSVILLE"</t>
  </si>
  <si>
    <t>1601 LAFAYETTE AVE</t>
  </si>
  <si>
    <t>MOUNDSVILLE</t>
  </si>
  <si>
    <t>26041</t>
  </si>
  <si>
    <t>04771-71</t>
  </si>
  <si>
    <t>HILLTOP BASIC-BIG BEND"NATIONAL L&amp;S-WILLIAMSTOWN"</t>
  </si>
  <si>
    <t>04771-81</t>
  </si>
  <si>
    <t>HILLTOP BASIC-BIG BEND"NATIONAL L&amp;S-NEW MARTINSV"</t>
  </si>
  <si>
    <t>04772-01</t>
  </si>
  <si>
    <t>LEHIGH HANSON-CLEVES</t>
  </si>
  <si>
    <t>7000 DRY FORK RD</t>
  </si>
  <si>
    <t>04772-05</t>
  </si>
  <si>
    <t>LEHIGH HANSON-CLEVES"LEHIGH HANSON-BATAVIA"</t>
  </si>
  <si>
    <t>4187 TAYLOR RD</t>
  </si>
  <si>
    <t>BATAVIA</t>
  </si>
  <si>
    <t>45103</t>
  </si>
  <si>
    <t>04776-01</t>
  </si>
  <si>
    <t>LEHIGH HANSON-VERSAILLES</t>
  </si>
  <si>
    <t>606 W CR 300 S</t>
  </si>
  <si>
    <t>VERSAILLES</t>
  </si>
  <si>
    <t>47042</t>
  </si>
  <si>
    <t>04777-01</t>
  </si>
  <si>
    <t>MELVIN STONE-BOWERSVILLE</t>
  </si>
  <si>
    <t>3659 SR 72 S</t>
  </si>
  <si>
    <t>SABINA</t>
  </si>
  <si>
    <t>45169</t>
  </si>
  <si>
    <t>04779-01</t>
  </si>
  <si>
    <t>WATSON GRAVEL-HARRISON</t>
  </si>
  <si>
    <t>10569 SUSPENSION BRIDGE RD</t>
  </si>
  <si>
    <t>04782-01</t>
  </si>
  <si>
    <t>MARTIN MARIETTA-PETERSBURG</t>
  </si>
  <si>
    <t>3503 BELLEVIEW RD</t>
  </si>
  <si>
    <t>04783-01</t>
  </si>
  <si>
    <t>HILLTOP BASIC-BUTLER</t>
  </si>
  <si>
    <t>1405 HIGHWAY 177 E</t>
  </si>
  <si>
    <t>41006</t>
  </si>
  <si>
    <t>04783-06</t>
  </si>
  <si>
    <t>HILLTOP BASIC-BUTLER"HILLTOP BASIC-E.CINCINNATI R"</t>
  </si>
  <si>
    <t>04783-07</t>
  </si>
  <si>
    <t>HILLTOP BASIC-BUTLER"HILLTOP BASIC-DOWNTOWN CINCI"</t>
  </si>
  <si>
    <t>04783-14</t>
  </si>
  <si>
    <t>HILLTOP BASIC-BUTLER"MARTIN MARIETTA-PARKERSBURG"</t>
  </si>
  <si>
    <t>04784-01</t>
  </si>
  <si>
    <t>MARTIN MARIETTA-COOK RD</t>
  </si>
  <si>
    <t>2935 COOK RD</t>
  </si>
  <si>
    <t>SPRING VALLEY</t>
  </si>
  <si>
    <t>45370</t>
  </si>
  <si>
    <t>04787-01</t>
  </si>
  <si>
    <t>WATSON GRAVEL-EDGEWATER</t>
  </si>
  <si>
    <t>4809 E MIAMI RIVER RD</t>
  </si>
  <si>
    <t>04788-01</t>
  </si>
  <si>
    <t>EVANS S&amp;G-MT CARMEL</t>
  </si>
  <si>
    <t>4455 MT. CARMEL RD</t>
  </si>
  <si>
    <t>45244</t>
  </si>
  <si>
    <t>04790-01</t>
  </si>
  <si>
    <t>MJ COATES-SPRING VALLEY</t>
  </si>
  <si>
    <t>2324 CENTERVILLE RD</t>
  </si>
  <si>
    <t>04791-01</t>
  </si>
  <si>
    <t>ARCH MATERIALS-BATAVIA</t>
  </si>
  <si>
    <t>4438 SR 276</t>
  </si>
  <si>
    <t>04792-01</t>
  </si>
  <si>
    <t>IRVING MATERIALS-CAMBRIDGE CITY</t>
  </si>
  <si>
    <t>14413 W US 40</t>
  </si>
  <si>
    <t>CAMBRIDGE CITY</t>
  </si>
  <si>
    <t>47327</t>
  </si>
  <si>
    <t>04793-01</t>
  </si>
  <si>
    <t>VALLEY ASPHALT-SHARONVILLE</t>
  </si>
  <si>
    <t>11641 MOSTELLER RD</t>
  </si>
  <si>
    <t>45241</t>
  </si>
  <si>
    <t>04794-01</t>
  </si>
  <si>
    <t>MELVIN STONE-FAIRBORN</t>
  </si>
  <si>
    <t>3250 LINEBAUGH DR</t>
  </si>
  <si>
    <t>04795-12</t>
  </si>
  <si>
    <t>YAGER MATLS-OWENSBOROR"MAR-ZANE-WEIRTON"</t>
  </si>
  <si>
    <t>04803-01</t>
  </si>
  <si>
    <t>BCE MATERIALS-WHEELERSBURG</t>
  </si>
  <si>
    <t>1059 SR 522</t>
  </si>
  <si>
    <t>WHEELERSBURG</t>
  </si>
  <si>
    <t>45694</t>
  </si>
  <si>
    <t>04804-01</t>
  </si>
  <si>
    <t>SHELLY MATLS-CHILLICOTHE</t>
  </si>
  <si>
    <t>1177 HOPETOWN RD</t>
  </si>
  <si>
    <t>CHILLICOTHE</t>
  </si>
  <si>
    <t>45601</t>
  </si>
  <si>
    <t>04804-84</t>
  </si>
  <si>
    <t>SHELLY MATLS-CHILLICOTHE"SHELLY MATLS-LANCASTER"</t>
  </si>
  <si>
    <t>3232 LOGAN_LANCASTER RD</t>
  </si>
  <si>
    <t>04805-01</t>
  </si>
  <si>
    <t>SOUTH CENTRAL S&amp;G - PIKETON</t>
  </si>
  <si>
    <t>3877 US 23</t>
  </si>
  <si>
    <t>PIKETON</t>
  </si>
  <si>
    <t>45661</t>
  </si>
  <si>
    <t>04807-01</t>
  </si>
  <si>
    <t>MAR-ZANE MATERIALS-RICHMOND DALE</t>
  </si>
  <si>
    <t>5701 HIGBY RD</t>
  </si>
  <si>
    <t>04811-01</t>
  </si>
  <si>
    <t>LEHIGH HANSON-SARGENTS</t>
  </si>
  <si>
    <t>3293 SR 23</t>
  </si>
  <si>
    <t>04816-01</t>
  </si>
  <si>
    <t>MOUNTAIN MATLS-VALLEY STONE</t>
  </si>
  <si>
    <t>12434 W US 60</t>
  </si>
  <si>
    <t>OLIVE HILL</t>
  </si>
  <si>
    <t>41164</t>
  </si>
  <si>
    <t>04818-01</t>
  </si>
  <si>
    <t>LATHAM LIMESTONE-LATHAM</t>
  </si>
  <si>
    <t>6424 S.R. 124</t>
  </si>
  <si>
    <t>LATHAM</t>
  </si>
  <si>
    <t>45646</t>
  </si>
  <si>
    <t>04818-48</t>
  </si>
  <si>
    <t>LATHAM LIMESTONE-LATHAM"DIAMOND STONE-ALBANY"</t>
  </si>
  <si>
    <t>3490 SR 50</t>
  </si>
  <si>
    <t>ALBANY</t>
  </si>
  <si>
    <t>45710</t>
  </si>
  <si>
    <t>04818-78</t>
  </si>
  <si>
    <t>LATHAM LIMESTONE-LATHAM"LATHAM LIMESTONE-OAK HILL"</t>
  </si>
  <si>
    <t>501 ROSCOE RD.</t>
  </si>
  <si>
    <t>OAK HILL</t>
  </si>
  <si>
    <t>45656</t>
  </si>
  <si>
    <t>04818-87</t>
  </si>
  <si>
    <t>LATHAM LIMESTONE-LATHAM"MAR-ZANE-RICHMOND DALE"</t>
  </si>
  <si>
    <t>RICHMOND DALE</t>
  </si>
  <si>
    <t>04819-01</t>
  </si>
  <si>
    <t>OHIO ASPHALTIC LIMESTONE-HILLSBORO</t>
  </si>
  <si>
    <t>8591 MAD RIVER RD.</t>
  </si>
  <si>
    <t>HILLSBORO</t>
  </si>
  <si>
    <t>45133</t>
  </si>
  <si>
    <t>04820-01</t>
  </si>
  <si>
    <t>LEHIGH HANSON-PEEBLES</t>
  </si>
  <si>
    <t>848 PLUM RUN RD</t>
  </si>
  <si>
    <t>PEEBLES</t>
  </si>
  <si>
    <t>45660</t>
  </si>
  <si>
    <t>04820-05</t>
  </si>
  <si>
    <t>LEHIGH HANSON-PEEBLES"LEHIGH HANSON-BATAVIA"</t>
  </si>
  <si>
    <t>04822-01</t>
  </si>
  <si>
    <t>MELVIN STONE-OAK HILL</t>
  </si>
  <si>
    <t>501 ROSCO RD</t>
  </si>
  <si>
    <t>04833-01</t>
  </si>
  <si>
    <t>LEHIGH HANSON-WINCHESTER</t>
  </si>
  <si>
    <t>13526 OVERSTAKE RD</t>
  </si>
  <si>
    <t>WINCHESTER</t>
  </si>
  <si>
    <t>45697</t>
  </si>
  <si>
    <t>04833-05</t>
  </si>
  <si>
    <t>LEHIGH HANSON-WINCHESTER"LEHIGH HANSON-BATAVIA"</t>
  </si>
  <si>
    <t>04836-01</t>
  </si>
  <si>
    <t>MELVIN STONE-PLANO</t>
  </si>
  <si>
    <t>3333 PLANO RD</t>
  </si>
  <si>
    <t>WASHINGTON COURT HOUSE</t>
  </si>
  <si>
    <t>43160</t>
  </si>
  <si>
    <t>04836-48</t>
  </si>
  <si>
    <t>MELVIN STONE-PLANO"DIAMOND STONE-ALBANY"</t>
  </si>
  <si>
    <t>04837-01</t>
  </si>
  <si>
    <t>LEHIGH HANSON-GRAYSON</t>
  </si>
  <si>
    <t>14011 SR 9</t>
  </si>
  <si>
    <t>GRAYSON</t>
  </si>
  <si>
    <t>41143</t>
  </si>
  <si>
    <t>04838-01</t>
  </si>
  <si>
    <t>TOW PATH-LUCASVILLE</t>
  </si>
  <si>
    <t>12360 SR 104</t>
  </si>
  <si>
    <t>LUCASVILLE</t>
  </si>
  <si>
    <t>45648</t>
  </si>
  <si>
    <t>04839-01</t>
  </si>
  <si>
    <t>ERVIN HILL-HILLSBORO</t>
  </si>
  <si>
    <t>6690 ERVIN RD</t>
  </si>
  <si>
    <t>04841-01</t>
  </si>
  <si>
    <t>TOW PATH-FRANKFORT</t>
  </si>
  <si>
    <t>15751 SR 28</t>
  </si>
  <si>
    <t>FRANKFORT</t>
  </si>
  <si>
    <t>45628</t>
  </si>
  <si>
    <t>04842-01</t>
  </si>
  <si>
    <t>MOUNTAIN MATLS-GREENUP SLAG</t>
  </si>
  <si>
    <t>US ROUTE 23</t>
  </si>
  <si>
    <t>GREENUP</t>
  </si>
  <si>
    <t>41144</t>
  </si>
  <si>
    <t>04845-01</t>
  </si>
  <si>
    <t>RIVER S&amp;G-VANCEBURG</t>
  </si>
  <si>
    <t>5048 W KY 8</t>
  </si>
  <si>
    <t>VANCEBURG</t>
  </si>
  <si>
    <t>41179</t>
  </si>
  <si>
    <t>04847-01</t>
  </si>
  <si>
    <t>ELKO AGGREGATE-WELLSTON</t>
  </si>
  <si>
    <t>17420 SR 124</t>
  </si>
  <si>
    <t>WELLSTON</t>
  </si>
  <si>
    <t>45692</t>
  </si>
  <si>
    <t>04848-01</t>
  </si>
  <si>
    <t>MARSHALL QUARRY-HILLSBORO</t>
  </si>
  <si>
    <t>10460 SR 124</t>
  </si>
  <si>
    <t>04903-01</t>
  </si>
  <si>
    <t>MAR-ZANE MATERIALS-HAYDENVILLE</t>
  </si>
  <si>
    <t>37561 WANDLING RD</t>
  </si>
  <si>
    <t>HAYDENVILLE</t>
  </si>
  <si>
    <t>43127</t>
  </si>
  <si>
    <t>04912-01</t>
  </si>
  <si>
    <t>LETART-GALLIPOLIS,WV</t>
  </si>
  <si>
    <t>10298 HUNTINGTON RD</t>
  </si>
  <si>
    <t>GALLIPOLIS FERRY</t>
  </si>
  <si>
    <t>25515</t>
  </si>
  <si>
    <t>04915-01</t>
  </si>
  <si>
    <t>MARTIN MARIETTA-APPLE GROVE</t>
  </si>
  <si>
    <t>50427 SR 124</t>
  </si>
  <si>
    <t>RACINE</t>
  </si>
  <si>
    <t>45771</t>
  </si>
  <si>
    <t>04915-14</t>
  </si>
  <si>
    <t>MARTIN MARIETTA-APPLE GROVE"MARTIN MARIETTA-PARKE"</t>
  </si>
  <si>
    <t>04915-17</t>
  </si>
  <si>
    <t>MARTIN MARIETTA-APPLE GROVE"MARTIN MAR-RAVENSWOOD"</t>
  </si>
  <si>
    <t>04915-39</t>
  </si>
  <si>
    <t>MARTIN MARIETTA-APPLE GROVE"M.M.-NEW MARTINSVILLE"</t>
  </si>
  <si>
    <t>04918-01</t>
  </si>
  <si>
    <t>CHRISTMAN QUARRY-SWAZEY ROAD</t>
  </si>
  <si>
    <t>47278 SWAZEY RD</t>
  </si>
  <si>
    <t>LEWISVILLE</t>
  </si>
  <si>
    <t>43754</t>
  </si>
  <si>
    <t>04927-01</t>
  </si>
  <si>
    <t>HOCKING VALLEY CONCRETE-LOGAN</t>
  </si>
  <si>
    <t>35255 HOCKING DR</t>
  </si>
  <si>
    <t>04932-33</t>
  </si>
  <si>
    <t>MULZER CR-CAPE SANDY"SHELLY-PRICE INLAND-BELPRE"</t>
  </si>
  <si>
    <t>3509 WASHINGTON BOULEVARD</t>
  </si>
  <si>
    <t>04932-35</t>
  </si>
  <si>
    <t>MULZER CR-CAPE SANDY"SHELLY-SMITH R.M.-MARIETTA"</t>
  </si>
  <si>
    <t>P O BOX 356</t>
  </si>
  <si>
    <t>04932-36</t>
  </si>
  <si>
    <t>MULZER CR-CAPE SANDY"SHELLY MATERIALS-GALLIPOLIS"</t>
  </si>
  <si>
    <t>04932-45</t>
  </si>
  <si>
    <t>MULZER CR-CAPE SANDY"MAR-ZANE MATERIALS-MARIETTA"</t>
  </si>
  <si>
    <t>04932-50</t>
  </si>
  <si>
    <t>MULZER CR-CAPE SANDY"OHIO RIVER AGG-MOUNDSVILLE"</t>
  </si>
  <si>
    <t>04932-81</t>
  </si>
  <si>
    <t>MULZER CR-CAPE SANDY"NATIONAL L&amp;S-NEW MARTINSVILLE</t>
  </si>
  <si>
    <t>04933-02</t>
  </si>
  <si>
    <t>MULZER CR-CHARLESTOWN"ACME CO-YOUNGSTOWN"</t>
  </si>
  <si>
    <t>04933-33</t>
  </si>
  <si>
    <t>MULZER CR-CHARLESTOWN"SHELLY-PRICE INLAND-BELPRE"</t>
  </si>
  <si>
    <t>04933-35</t>
  </si>
  <si>
    <t>MULZER CR-CHARLESTOWN"SMITH R.M.-MARIETTA"</t>
  </si>
  <si>
    <t>04933-36</t>
  </si>
  <si>
    <t>MULZER CR-CHARLESTOWN"SHELLY MATLS-GALLIPOLIS"</t>
  </si>
  <si>
    <t>04933-45</t>
  </si>
  <si>
    <t>MULZER-CHARLESTOWN"MAR-ZANE MATERIALS-MARIETTA"</t>
  </si>
  <si>
    <t>04933-80</t>
  </si>
  <si>
    <t>MULZER CR-CHARLESTOWN"SIDWELL MATL-BELLAIRE"</t>
  </si>
  <si>
    <t>04933-81</t>
  </si>
  <si>
    <t>MULZER CR-CHARLESTOWN"NATIONAL L&amp;S-NEW MARTINSVIL"</t>
  </si>
  <si>
    <t>04933-82</t>
  </si>
  <si>
    <t>MULZER CR-CHARLESTOWN-"OHIO RIVER AGG-CLARINGTON"</t>
  </si>
  <si>
    <t>48482 ST 7</t>
  </si>
  <si>
    <t>CLARINGTON</t>
  </si>
  <si>
    <t>43915</t>
  </si>
  <si>
    <t>04933-85</t>
  </si>
  <si>
    <t>MULZER CR-CHARLESTOWN"MAR-ZANE MATLS-ST. MARY'S"</t>
  </si>
  <si>
    <t>04937-12</t>
  </si>
  <si>
    <t>RIVERSIDE-BATTLETOWN"MAR-ZANE-WEIRTON"</t>
  </si>
  <si>
    <t>04937-14</t>
  </si>
  <si>
    <t>RIVERSIDE-BATTLETOWN"MARTIN MARIETTA-PARKERSBURG"</t>
  </si>
  <si>
    <t>04937-16</t>
  </si>
  <si>
    <t>RIVERSIDE-BATTLETOWN"MARTIN MARIETTA-KELLOGG"</t>
  </si>
  <si>
    <t>04937-17</t>
  </si>
  <si>
    <t>RIVERSIDE-BATTLETOWN,KY"M.M.-RAVENSWOOD,WVA"</t>
  </si>
  <si>
    <t>04937-39</t>
  </si>
  <si>
    <t>RIVERSIDE-BATTLETOWN,KY"M.M-NEW MARTINSVILLE"</t>
  </si>
  <si>
    <t>04937-44</t>
  </si>
  <si>
    <t>RIVERSIDE-BATTLETOWN"MAR-ZANE-BENWOOD"</t>
  </si>
  <si>
    <t>04937-50</t>
  </si>
  <si>
    <t>RIVERSIDE-BATTLETOWN"OHIO RIVER AGG-MOUNDSVILLE"</t>
  </si>
  <si>
    <t>04937-81</t>
  </si>
  <si>
    <t>RIVERSIDE-BATTLETOWN"NATIONAL L&amp;S-NEW MARTINSVILL"</t>
  </si>
  <si>
    <t>04937-89</t>
  </si>
  <si>
    <t>RIVERSIDE-BATTLETOWN"YAGER MATLS-BEAVERTOWN"</t>
  </si>
  <si>
    <t>04945-01</t>
  </si>
  <si>
    <t>SHELLY MATLS-REEDSVILLE</t>
  </si>
  <si>
    <t>64584 SR 124</t>
  </si>
  <si>
    <t>REEDSVILLE</t>
  </si>
  <si>
    <t>45772</t>
  </si>
  <si>
    <t>04946-01</t>
  </si>
  <si>
    <t>MCKEE MATERIALS-NELSONVILLE</t>
  </si>
  <si>
    <t>14820 KIMBERLY RD</t>
  </si>
  <si>
    <t>NELSONVILLE</t>
  </si>
  <si>
    <t>45764</t>
  </si>
  <si>
    <t>04947-01</t>
  </si>
  <si>
    <t>KING QUARRIES-CALDWELL</t>
  </si>
  <si>
    <t>41820 PARRISH RIDGE RD</t>
  </si>
  <si>
    <t>CALDWELL</t>
  </si>
  <si>
    <t>43724</t>
  </si>
  <si>
    <t>04948-01</t>
  </si>
  <si>
    <t>SHELLY MATLS-RENO</t>
  </si>
  <si>
    <t>30222 SR 7</t>
  </si>
  <si>
    <t>04948-45</t>
  </si>
  <si>
    <t>SHELLY MATLS-RENO"MAR-ZANE MATERIALS-MARIETTA"</t>
  </si>
  <si>
    <t>04948-75</t>
  </si>
  <si>
    <t>SHELLY MATLS-WILLOW ISLAND -"SHELLY MATLS-DERWENT"</t>
  </si>
  <si>
    <t>04949-56</t>
  </si>
  <si>
    <t>GREER-MORGANTOWN,WV"MAR-ZANE MATERIALS-BETHESDA"</t>
  </si>
  <si>
    <t>38824 NATIONAL RD</t>
  </si>
  <si>
    <t>BETHESDA</t>
  </si>
  <si>
    <t>43719</t>
  </si>
  <si>
    <t>04949-83</t>
  </si>
  <si>
    <t>GREER-MORGANTOWN"MAR-ZANE-RAYLAND"</t>
  </si>
  <si>
    <t>1371 OLD SR 7</t>
  </si>
  <si>
    <t>RAYLAND</t>
  </si>
  <si>
    <t>43943</t>
  </si>
  <si>
    <t>04950-01</t>
  </si>
  <si>
    <t>BELPRE S&amp;G-LITTLE HOCKING</t>
  </si>
  <si>
    <t>320 CEMETARY RD</t>
  </si>
  <si>
    <t>LITTLE HOCKING</t>
  </si>
  <si>
    <t>45742</t>
  </si>
  <si>
    <t>04950-14</t>
  </si>
  <si>
    <t>BELPRE SD&amp;GR-LITTLE HOCKING"MARTIN MARIETTA-PARKE"</t>
  </si>
  <si>
    <t>04950-17</t>
  </si>
  <si>
    <t>BELPRE SD&amp;GR-LITTLE HOCKING"M.M.-RAVENSWOOD"</t>
  </si>
  <si>
    <t>04950-39</t>
  </si>
  <si>
    <t>BELPRE SD&amp;GR-LITTLE HOCKING"M.M.-NEW MARTINSVILLE"</t>
  </si>
  <si>
    <t>04950-45</t>
  </si>
  <si>
    <t>BELPRE S&amp;G-LITTLE HOCKING"MAR-ZANE MATLS-MARIETTA"</t>
  </si>
  <si>
    <t>04953-01</t>
  </si>
  <si>
    <t>K.C.I. S&amp;G-LOGAN</t>
  </si>
  <si>
    <t>16281 HAYDENVILLE RD</t>
  </si>
  <si>
    <t>04954-01</t>
  </si>
  <si>
    <t>MARTIN MARIETTA-BURNING SPRINGS</t>
  </si>
  <si>
    <t>RURAL RT. 1, BOX 110</t>
  </si>
  <si>
    <t>PETROLEUM</t>
  </si>
  <si>
    <t>26161</t>
  </si>
  <si>
    <t>04954-14</t>
  </si>
  <si>
    <t>MARTIN MARIETTA-BURNING SPRINGS"MARTIN MARIETTA-P"</t>
  </si>
  <si>
    <t>04954-17</t>
  </si>
  <si>
    <t>MARTIN MARIETTA-BURNIGN SPRIN"M.M.-RAVENSWOOD,WVA"</t>
  </si>
  <si>
    <t>04954-39</t>
  </si>
  <si>
    <t>MARTIN MARIETTA-BURNIGN SPRI"M.M.-NEW MARTINSVILE"</t>
  </si>
  <si>
    <t>04958-01</t>
  </si>
  <si>
    <t>SHELLY MATLS-PORTLAND</t>
  </si>
  <si>
    <t>54301 MCDADE RD</t>
  </si>
  <si>
    <t>45770</t>
  </si>
  <si>
    <t>04958-36</t>
  </si>
  <si>
    <t>SHELLY MATLS-PORTLAND"SHELLY MATLS - GALLIPOLIS"</t>
  </si>
  <si>
    <t>04960-01</t>
  </si>
  <si>
    <t>L&amp;K STONE - BELPRE</t>
  </si>
  <si>
    <t>05002-01</t>
  </si>
  <si>
    <t>PHOENIX SERVICES-MINGO JUNCTION</t>
  </si>
  <si>
    <t>700 TWP RD 167A</t>
  </si>
  <si>
    <t>MINGO JUNCTION</t>
  </si>
  <si>
    <t>43938</t>
  </si>
  <si>
    <t>05002-12</t>
  </si>
  <si>
    <t>PHOENIX SERVICES-MINGO JUNCTION"MAR-ZANE-WEIRTON"</t>
  </si>
  <si>
    <t>05002-44</t>
  </si>
  <si>
    <t>PHOENIX SERVICES-MINGO JUNCTION"MAR-ZANE MATERIA"</t>
  </si>
  <si>
    <t>05009-01</t>
  </si>
  <si>
    <t>FEIKERT S&amp;G-FREDERICKSBURG</t>
  </si>
  <si>
    <t>7100 CR 189</t>
  </si>
  <si>
    <t>FREDERICKSBURG</t>
  </si>
  <si>
    <t>44627</t>
  </si>
  <si>
    <t>05016-01</t>
  </si>
  <si>
    <t>KIMBLE CLAY &amp; LS-DOVER</t>
  </si>
  <si>
    <t>3596 SR 39 NW</t>
  </si>
  <si>
    <t>DOVER</t>
  </si>
  <si>
    <t>44622</t>
  </si>
  <si>
    <t>05017-01</t>
  </si>
  <si>
    <t>HOLMES READYMIX CONCRETE-MILLERSBURG</t>
  </si>
  <si>
    <t>5366 CR 349</t>
  </si>
  <si>
    <t>MILLERSBURG</t>
  </si>
  <si>
    <t>44654</t>
  </si>
  <si>
    <t>05020-01</t>
  </si>
  <si>
    <t>NEWTON ASPHALT-DOVER</t>
  </si>
  <si>
    <t>2411 SR 516</t>
  </si>
  <si>
    <t>05027-01</t>
  </si>
  <si>
    <t>OSTER S&amp;G-BOLIVAR</t>
  </si>
  <si>
    <t>3467 DOVER-ZOAR RD</t>
  </si>
  <si>
    <t>BOLIVAR</t>
  </si>
  <si>
    <t>44612</t>
  </si>
  <si>
    <t>05029-01</t>
  </si>
  <si>
    <t>SIDWELL MATERIALS-MIDVALE</t>
  </si>
  <si>
    <t>21945 BRIGHTWOOD RD SE</t>
  </si>
  <si>
    <t>05029-80</t>
  </si>
  <si>
    <t>SIDWELL MATL-MIDVALE S&amp;G"SIDWELL MATL- BELLAIRE"</t>
  </si>
  <si>
    <t>05038-01</t>
  </si>
  <si>
    <t>STOCKER S&amp;G-PT.WASHINGTON</t>
  </si>
  <si>
    <t>8669 SR 36</t>
  </si>
  <si>
    <t>GNADENHUTTEN</t>
  </si>
  <si>
    <t>44629</t>
  </si>
  <si>
    <t>05038-12</t>
  </si>
  <si>
    <t>STOCKER S&amp;G-PT.WASHINGTON"MAR-ZANE-WEIRTON, WV"</t>
  </si>
  <si>
    <t>05038-44</t>
  </si>
  <si>
    <t>STOCKER S&amp;G-PT.WASHINGTON"MAR-ZANE MATERIALS-BEN"</t>
  </si>
  <si>
    <t>05038-56</t>
  </si>
  <si>
    <t>STOCKER S&amp;G-PT.WASHINGTON"MAR-ZANE MATERIALS-BETH"</t>
  </si>
  <si>
    <t>05039-01</t>
  </si>
  <si>
    <t>XL S&amp;G-NEGLEY</t>
  </si>
  <si>
    <t>8110 SR 170</t>
  </si>
  <si>
    <t>NEGLEY</t>
  </si>
  <si>
    <t>44441</t>
  </si>
  <si>
    <t>05044-01</t>
  </si>
  <si>
    <t>SIDWELL MATERIALS-APEX LIMESTONE</t>
  </si>
  <si>
    <t>89000 FLEMING RD</t>
  </si>
  <si>
    <t>JEWETT</t>
  </si>
  <si>
    <t>43986</t>
  </si>
  <si>
    <t>05047-19</t>
  </si>
  <si>
    <t>NATIONAL L&amp;S-MAGNOLIA"NATIONAL L&amp;S-WOOSTER"</t>
  </si>
  <si>
    <t>1445 TIMKEN ROAD</t>
  </si>
  <si>
    <t>05047-20</t>
  </si>
  <si>
    <t>NATIONAL L&amp;S-MAGNOLIA"NATIONAL L&amp;S-AKRON"</t>
  </si>
  <si>
    <t>05047-22</t>
  </si>
  <si>
    <t>NATIONAL L&amp;S-MAGNOLIA"NATIONAL L&amp;S-CANTON"</t>
  </si>
  <si>
    <t>1428 WAYNESBURG DRIVE SOUTHEAST</t>
  </si>
  <si>
    <t>05047-26</t>
  </si>
  <si>
    <t>NATIONAL L&amp;S-MAGNOLIA"NATIONAL L&amp;S-TUSKY VALLEY"</t>
  </si>
  <si>
    <t>2942 BRIGHTWOOD ROAD</t>
  </si>
  <si>
    <t>05047-41</t>
  </si>
  <si>
    <t>NATIONAL L&amp;S-MAGNOLIA"NATIONAL L&amp;S-COSHOCTON"</t>
  </si>
  <si>
    <t>47849 PAPERMILL ROAD</t>
  </si>
  <si>
    <t>05049-01</t>
  </si>
  <si>
    <t>HANSON AGG BMC-CORAOPOLIS</t>
  </si>
  <si>
    <t>819 PENNSYLVANIA AVE</t>
  </si>
  <si>
    <t>CORAOPOLIS</t>
  </si>
  <si>
    <t>15108</t>
  </si>
  <si>
    <t>05057-01</t>
  </si>
  <si>
    <t>HOLMES SUPPLY-HOLMESVILLE</t>
  </si>
  <si>
    <t>7571 SR 83</t>
  </si>
  <si>
    <t>HOLMESVILLE</t>
  </si>
  <si>
    <t>44633</t>
  </si>
  <si>
    <t>05062-01</t>
  </si>
  <si>
    <t>SIDWELL MATERIALS-UNIONTOWN STONE</t>
  </si>
  <si>
    <t>72607 GUN CLUB RD</t>
  </si>
  <si>
    <t>ST. CLAIRSVILLE</t>
  </si>
  <si>
    <t>43950</t>
  </si>
  <si>
    <t>05064-01</t>
  </si>
  <si>
    <t>PHOENIX ASPHALT-MAGNOLIA</t>
  </si>
  <si>
    <t>10825 IMPERIAL RD NW</t>
  </si>
  <si>
    <t>MAGNOLIA</t>
  </si>
  <si>
    <t>44643</t>
  </si>
  <si>
    <t>05064-02</t>
  </si>
  <si>
    <t>PHOENIX ASPHALT-MAGNOLIA"ACME CO-YOUNGSTOWN"</t>
  </si>
  <si>
    <t>05064-03</t>
  </si>
  <si>
    <t>PHOENIX-MAGNOLIA"ACME CO.-N.JACKSON"</t>
  </si>
  <si>
    <t>05066-01</t>
  </si>
  <si>
    <t>SIDWELL MATERIALS-STANDING STONE</t>
  </si>
  <si>
    <t>42600 DEERSVILLE RIDGE RD</t>
  </si>
  <si>
    <t>05069-01</t>
  </si>
  <si>
    <t>SOEHNLEN BROS S&amp;G-BEACH CITY</t>
  </si>
  <si>
    <t>10449 SOEHNLEN RD NW</t>
  </si>
  <si>
    <t>BEACH CITY</t>
  </si>
  <si>
    <t>44608</t>
  </si>
  <si>
    <t>05073-19</t>
  </si>
  <si>
    <t>NATIONAL L&amp;S-STRASBURG"NATIONAL L&amp;S-WOOSTER"</t>
  </si>
  <si>
    <t>1154 1445 TIMKEN ROAD</t>
  </si>
  <si>
    <t>05073-20</t>
  </si>
  <si>
    <t>NATIONAL L&amp;S-STRASBURG"NATIONAL L&amp;S- AKRON"</t>
  </si>
  <si>
    <t>05073-22</t>
  </si>
  <si>
    <t>NATIONAL L&amp;S-STRASBURG "NATIONAL L&amp;S CANTON"</t>
  </si>
  <si>
    <t>05073-26</t>
  </si>
  <si>
    <t>NATIONAL L&amp;S-STRASBURG"NATIONAL-TUSKY VALLEY"</t>
  </si>
  <si>
    <t>05073-41</t>
  </si>
  <si>
    <t>NATIONAL L&amp;S-STRASBURG"NATIONAL L&amp;S-COSHOCTON"</t>
  </si>
  <si>
    <t>05074-01</t>
  </si>
  <si>
    <t>SIDWELL MATERIALS-BLAINE AGGREGATES</t>
  </si>
  <si>
    <t>68340 BARTON BLAINE RD</t>
  </si>
  <si>
    <t>05106-23</t>
  </si>
  <si>
    <t>CARMEUSE-PT.INLAND"ONTARIO STONE-CLEVELAND"</t>
  </si>
  <si>
    <t>05106-25</t>
  </si>
  <si>
    <t>CARMEUSE-PT.INLAND"OSBORNE-GRAND RIVER"</t>
  </si>
  <si>
    <t>05106-28</t>
  </si>
  <si>
    <t>CARMEUSE-PT.INLAND"OSBORNE CLEVELAND YARD"</t>
  </si>
  <si>
    <t>05106-30</t>
  </si>
  <si>
    <t>CARMEUSE-PT.INLAND"P&amp;C DOCK-CONNEAUT"</t>
  </si>
  <si>
    <t>950 FORD AVE</t>
  </si>
  <si>
    <t>CONNEAUT</t>
  </si>
  <si>
    <t>44030</t>
  </si>
  <si>
    <t>05106-31</t>
  </si>
  <si>
    <t>CARMEUSE-PT.INLAND"PINNEY DOCK-ASHTABULA"</t>
  </si>
  <si>
    <t>05107-01</t>
  </si>
  <si>
    <t>BEST SAND-CHARDON</t>
  </si>
  <si>
    <t>11830 RAVENNA RD</t>
  </si>
  <si>
    <t>CHARDON</t>
  </si>
  <si>
    <t>44024</t>
  </si>
  <si>
    <t>05109-24</t>
  </si>
  <si>
    <t>LAFARGE-PRESQUE ISLE"LAFARGE-CLEVELAND"</t>
  </si>
  <si>
    <t>05109-25</t>
  </si>
  <si>
    <t>LAFARGE-PRESQUE ISLE"OSBORNE-FAIRPORT"</t>
  </si>
  <si>
    <t>423 WATER STREET</t>
  </si>
  <si>
    <t>FAIRPORT</t>
  </si>
  <si>
    <t>44077</t>
  </si>
  <si>
    <t>05109-28</t>
  </si>
  <si>
    <t>LAFARGE-PRESQUE ISLE"OSBORNE-CLEVELAND"</t>
  </si>
  <si>
    <t>05109-29</t>
  </si>
  <si>
    <t>LAFARGE-PRESQUE ISLE"LAFARGE-TERMINAL DOCK"</t>
  </si>
  <si>
    <t>05109-43</t>
  </si>
  <si>
    <t>LAFARGE-PRESQUE ISLE"LAFARGE-RIVER DOCK"</t>
  </si>
  <si>
    <t>05111-24</t>
  </si>
  <si>
    <t>DRUMMOND ISLE STONE-DRUMMOND"LAFARGE-CLEVELAND"</t>
  </si>
  <si>
    <t>05111-25</t>
  </si>
  <si>
    <t>DRUMMOND ISLE STONE"OSBORNE-FAIRPORT"</t>
  </si>
  <si>
    <t>05111-28</t>
  </si>
  <si>
    <t>DRUMMOND ISLE STONE"OSBORNE-CLEVELAND"</t>
  </si>
  <si>
    <t>05112-23</t>
  </si>
  <si>
    <t>RANKIN-PORT COLBORNE"ONTARIO STONE-CLEVELAND"</t>
  </si>
  <si>
    <t>05113-01</t>
  </si>
  <si>
    <t>R W SIDLEY-THOMPSON</t>
  </si>
  <si>
    <t>6910 MADISON RD</t>
  </si>
  <si>
    <t>THOMPSON</t>
  </si>
  <si>
    <t>44086</t>
  </si>
  <si>
    <t>05114-04</t>
  </si>
  <si>
    <t>LAFARGE-MANITOULIN"SHELLY MATLS-CUYAHOGA RD"</t>
  </si>
  <si>
    <t>05114-24</t>
  </si>
  <si>
    <t>LAFARGE-MANITOULIN"LAFARGE-CLEVELAND"</t>
  </si>
  <si>
    <t>05114-28</t>
  </si>
  <si>
    <t>LAFARGE-MANITOULIN"OSBORNE-CLEVELAND"</t>
  </si>
  <si>
    <t>05114-29</t>
  </si>
  <si>
    <t>LAFARGE-MANITOULIN"LAFARGE-TERMINAL DOCK"</t>
  </si>
  <si>
    <t>05114-37</t>
  </si>
  <si>
    <t>LAFARGE-MANITOULIN"RW SIDLEY-GRAND RIVER"</t>
  </si>
  <si>
    <t>05114-43</t>
  </si>
  <si>
    <t>LAFARGE-MANITOULIN"LAFARGE-RIVER DOCK"</t>
  </si>
  <si>
    <t>05114-62</t>
  </si>
  <si>
    <t>LAFARGE-MANITOULIN"RW SIDLEY-ASHTABULA"</t>
  </si>
  <si>
    <t>05115-04</t>
  </si>
  <si>
    <t>CARMEUSE-CEDARVILLE"SHELLY MATLS-CUYAHOGA RD"</t>
  </si>
  <si>
    <t>05115-23</t>
  </si>
  <si>
    <t>CARMEUSE-CEDARVILLE"ONTARIO STONE-CLEVELAND"</t>
  </si>
  <si>
    <t>05115-25</t>
  </si>
  <si>
    <t>CARMEUSE-CEDARVILLE"OSBORNE-GRAND RIVER"</t>
  </si>
  <si>
    <t>05115-30</t>
  </si>
  <si>
    <t>CARMEUSE-CEDARVILLE"P&amp;C DOCK-CONNEAUT"</t>
  </si>
  <si>
    <t>05115-72</t>
  </si>
  <si>
    <t>CARMEUSE-CEDARVILLE "CARMEUSE-ERIE DOCK"</t>
  </si>
  <si>
    <t>2 E. BAY DR.</t>
  </si>
  <si>
    <t>16512</t>
  </si>
  <si>
    <t>05116-23</t>
  </si>
  <si>
    <t>CARMEUSE-CALCITE"ONTARIO STONE-CLEVELAND"</t>
  </si>
  <si>
    <t>05116-30</t>
  </si>
  <si>
    <t>CARMEUSE-CALCITE"P&amp;C DOCK-CONNEAUT"</t>
  </si>
  <si>
    <t>05116-31</t>
  </si>
  <si>
    <t>CARMUESE-CALCITE"PINNEY DOCK-ASHTABULA"</t>
  </si>
  <si>
    <t>05147-01</t>
  </si>
  <si>
    <t>STEIN - CLEVELAND SLAG</t>
  </si>
  <si>
    <t>2615 W 3RD ST</t>
  </si>
  <si>
    <t>05147-02</t>
  </si>
  <si>
    <t>STEIN-CLEVELAND SLAG"ACME CO-YOUNGSTOWN"</t>
  </si>
  <si>
    <t>05147-03</t>
  </si>
  <si>
    <t>CLEVELAND SLAG-CLEVELAND"ACME CO.-N.JACKSON"</t>
  </si>
  <si>
    <t>05147-04</t>
  </si>
  <si>
    <t>CLEVELAND SLAG-CLEVELAND"SHELLY MATLS-CUYAHOGA RD"</t>
  </si>
  <si>
    <t>2146 W 3RD ST.</t>
  </si>
  <si>
    <t>05149-01</t>
  </si>
  <si>
    <t>KURTZ BROS-PORT OF CLEVELAND</t>
  </si>
  <si>
    <t>4301 N MARGINAL RD</t>
  </si>
  <si>
    <t>44114</t>
  </si>
  <si>
    <t>05150-01</t>
  </si>
  <si>
    <t>ALLEGA-PAINESVILLE</t>
  </si>
  <si>
    <t>1037 BANK ST</t>
  </si>
  <si>
    <t>PAINESVILLE</t>
  </si>
  <si>
    <t>05151-01</t>
  </si>
  <si>
    <t>ALLEGA-VALLEY VIEW</t>
  </si>
  <si>
    <t>5585 CANAL RD</t>
  </si>
  <si>
    <t>VALLEY VIEW</t>
  </si>
  <si>
    <t>44125</t>
  </si>
  <si>
    <t>05152-01</t>
  </si>
  <si>
    <t>ALLEGA-CLEVELAND</t>
  </si>
  <si>
    <t>4319 OLD GRAYTON RD</t>
  </si>
  <si>
    <t>05153-01</t>
  </si>
  <si>
    <t>CITY SLAG-HERMITAGE</t>
  </si>
  <si>
    <t>300 OHIO ST EXT</t>
  </si>
  <si>
    <t>HERMITAGE</t>
  </si>
  <si>
    <t>16148</t>
  </si>
  <si>
    <t>05155-01</t>
  </si>
  <si>
    <t>ALLEGA-VROOMAN RD</t>
  </si>
  <si>
    <t>6001 VROOMAN RD</t>
  </si>
  <si>
    <t>09552-01</t>
  </si>
  <si>
    <t>STOCKER S&amp;G-GNADENHUTTEN</t>
  </si>
  <si>
    <t>7574 SR 36</t>
  </si>
  <si>
    <t>09552-50</t>
  </si>
  <si>
    <t>STOCKER S&amp;G-GNADENHUTTEN"OHIO RIVER AGG-MOUNDSVIL"</t>
  </si>
  <si>
    <t>4004A-01</t>
  </si>
  <si>
    <t>4004B-01</t>
  </si>
  <si>
    <t>4008B-01</t>
  </si>
  <si>
    <t>4023B-01</t>
  </si>
  <si>
    <t>4876 CR43</t>
  </si>
  <si>
    <t>4108A-01</t>
  </si>
  <si>
    <t>6126 W. MILLGROVE RD.</t>
  </si>
  <si>
    <t>4110B-01</t>
  </si>
  <si>
    <t>4113A-01</t>
  </si>
  <si>
    <t>4113A-86</t>
  </si>
  <si>
    <t>GERKEN CO-CUSTAR STONE"GERKEN CO-PIONEER"</t>
  </si>
  <si>
    <t>4118R-01</t>
  </si>
  <si>
    <t>STANSLEY-GENOA"STONECO-MAUMEE"</t>
  </si>
  <si>
    <t>677 SOUTH GENOA-CLAY CENTER RD.</t>
  </si>
  <si>
    <t>4120A-01</t>
  </si>
  <si>
    <t>4122A-01</t>
  </si>
  <si>
    <t>4123B-01</t>
  </si>
  <si>
    <t>4147A-01</t>
  </si>
  <si>
    <t>4156A-01</t>
  </si>
  <si>
    <t>4156A-86</t>
  </si>
  <si>
    <t>4163A-01</t>
  </si>
  <si>
    <t>4163A-66</t>
  </si>
  <si>
    <t>606 E 152 ST</t>
  </si>
  <si>
    <t>4202A-01</t>
  </si>
  <si>
    <t>4202A-19</t>
  </si>
  <si>
    <t>1455 TIMKEN RD</t>
  </si>
  <si>
    <t>4204A-01</t>
  </si>
  <si>
    <t>LEHIGH HANSON-WAGNER</t>
  </si>
  <si>
    <t>4203 MILAN RD</t>
  </si>
  <si>
    <t>4204A-10</t>
  </si>
  <si>
    <t>LEHIGH HANSON-WAGNER "SHELLY MATLS-TWINSBURG"</t>
  </si>
  <si>
    <t>Twinsburg</t>
  </si>
  <si>
    <t>4204A-13</t>
  </si>
  <si>
    <t>LEHIGH HANSON-WAGNER"SHELLY MATLS-ALLIANCE"</t>
  </si>
  <si>
    <t>4204A-27</t>
  </si>
  <si>
    <t>LEHIGH HANSON-WAGNER"OSBORNE-DARROW RD"</t>
  </si>
  <si>
    <t>124 DARROW RD</t>
  </si>
  <si>
    <t>44305</t>
  </si>
  <si>
    <t>4204A-42</t>
  </si>
  <si>
    <t>LEHIGH HANSON-WAGNER"SHELLY MATLS-COPLEY"</t>
  </si>
  <si>
    <t>4204A-53</t>
  </si>
  <si>
    <t>LEHIGH HANSON-WAGNER"OSBORNE MEDINA-MEDINA"</t>
  </si>
  <si>
    <t>4205A-01</t>
  </si>
  <si>
    <t>LEHIGH HANSON-SANDUSKY</t>
  </si>
  <si>
    <t>9220 PORTLAND RD</t>
  </si>
  <si>
    <t>CASTALIA</t>
  </si>
  <si>
    <t>44824</t>
  </si>
  <si>
    <t>4205A-09</t>
  </si>
  <si>
    <t>LEHIGH HANSON-SANDUSKY"OSBORNE MEDINA-LODI"</t>
  </si>
  <si>
    <t>4205A-27</t>
  </si>
  <si>
    <t>LEHIGH HANSON-SANDUSKY"OSBORNE-DARROW RD"</t>
  </si>
  <si>
    <t>4205A-28</t>
  </si>
  <si>
    <t>LEHIGH HANSON-SANDUSKY"OSBORNE-CLEVELAND"</t>
  </si>
  <si>
    <t>4205A-40</t>
  </si>
  <si>
    <t>LEHIGH HANSON-SANDUSKY"NATIONAL L&amp;S-STARK"</t>
  </si>
  <si>
    <t>8115 NAVARRE RD SW</t>
  </si>
  <si>
    <t>4205A-53</t>
  </si>
  <si>
    <t>LEHIGH HANSON-SANDUSKY"OSBORNE MEDINA-MEDINA"</t>
  </si>
  <si>
    <t>4205B-01</t>
  </si>
  <si>
    <t>4205B-09</t>
  </si>
  <si>
    <t>4205B-22</t>
  </si>
  <si>
    <t>LEHIGH HANSON-SANDUSKY"NATIONAL L&amp;S-CANTON"</t>
  </si>
  <si>
    <t>4205B-27</t>
  </si>
  <si>
    <t>4205B-32</t>
  </si>
  <si>
    <t>LEHIGH HANSON-SANDUSKY"SHELLY MATLS-PORTAGE"</t>
  </si>
  <si>
    <t>4205B-40</t>
  </si>
  <si>
    <t>4205B-42</t>
  </si>
  <si>
    <t>LEHIGH HANSON-SANDUSKY"SHELLY MATLS-COPLEY "</t>
  </si>
  <si>
    <t>4205B-53</t>
  </si>
  <si>
    <t>4205B-69</t>
  </si>
  <si>
    <t>LEHIGH HANSON-SANDUSKY"SHELLY MATLS-WEST 130TH"</t>
  </si>
  <si>
    <t>4205C-01</t>
  </si>
  <si>
    <t>4205C-22</t>
  </si>
  <si>
    <t>4205C-27</t>
  </si>
  <si>
    <t>4205C-40</t>
  </si>
  <si>
    <t>4205C-67</t>
  </si>
  <si>
    <t>LEHIGH HANSON-SANDUSKY"NATIONAL L&amp;S-MARTINS FERRY"</t>
  </si>
  <si>
    <t>1601 N FIRST ST</t>
  </si>
  <si>
    <t>4205D-01</t>
  </si>
  <si>
    <t>4205D-09</t>
  </si>
  <si>
    <t>4205D-27</t>
  </si>
  <si>
    <t>4205D-40</t>
  </si>
  <si>
    <t>4205D-53</t>
  </si>
  <si>
    <t>4212A-01</t>
  </si>
  <si>
    <t>4215A-01</t>
  </si>
  <si>
    <t>4307A-01</t>
  </si>
  <si>
    <t>4344B-01</t>
  </si>
  <si>
    <t>411 OBERLIN RD.</t>
  </si>
  <si>
    <t>4352A-01</t>
  </si>
  <si>
    <t>2995 INDIAN RIVER ROAD</t>
  </si>
  <si>
    <t>4373A-01</t>
  </si>
  <si>
    <t>4394A-01</t>
  </si>
  <si>
    <t>4403A-01</t>
  </si>
  <si>
    <t>45500 CR 23</t>
  </si>
  <si>
    <t>4403B-01</t>
  </si>
  <si>
    <t>4403C-01</t>
  </si>
  <si>
    <t>45500 COUNTY ROAD 23</t>
  </si>
  <si>
    <t>4410B-01</t>
  </si>
  <si>
    <t>4410C-01</t>
  </si>
  <si>
    <t>4413A-01</t>
  </si>
  <si>
    <t>4413B-01</t>
  </si>
  <si>
    <t>SHELLY MATLS-E. FULTONHAM</t>
  </si>
  <si>
    <t>4419A-01</t>
  </si>
  <si>
    <t>4419B-01</t>
  </si>
  <si>
    <t>4420A-01</t>
  </si>
  <si>
    <t>4502B-01</t>
  </si>
  <si>
    <t>4502C-01</t>
  </si>
  <si>
    <t>4502D-01</t>
  </si>
  <si>
    <t>4505B-01</t>
  </si>
  <si>
    <t>2406 S. SECTION LINE RD.</t>
  </si>
  <si>
    <t>4509A-01</t>
  </si>
  <si>
    <t>4509B-01</t>
  </si>
  <si>
    <t>4512A-01</t>
  </si>
  <si>
    <t>4516A-01</t>
  </si>
  <si>
    <t>4526A-01</t>
  </si>
  <si>
    <t>4602A-01</t>
  </si>
  <si>
    <t>WALLS MATERIALS-FT. JEFFERSON</t>
  </si>
  <si>
    <t>3495 HOLLANSBURG SAMPSON RD</t>
  </si>
  <si>
    <t>4608A-01</t>
  </si>
  <si>
    <t>4613A-01</t>
  </si>
  <si>
    <t>4710 SOLDIERS HOME RD</t>
  </si>
  <si>
    <t>4622A-01</t>
  </si>
  <si>
    <t>6430 KARCH RD</t>
  </si>
  <si>
    <t>4622B-01</t>
  </si>
  <si>
    <t>4623B-01</t>
  </si>
  <si>
    <t>BARRETT PAVING MATLS-MIAMI RIVER STONE</t>
  </si>
  <si>
    <t>1556 MIAMI RIVER RD</t>
  </si>
  <si>
    <t>4636B-01</t>
  </si>
  <si>
    <t>NATIONAL L&amp;S-BUCKLAND</t>
  </si>
  <si>
    <t>18430 MAIN ST RD</t>
  </si>
  <si>
    <t>WAPAKONETA</t>
  </si>
  <si>
    <t>45819</t>
  </si>
  <si>
    <t>4703A-01</t>
  </si>
  <si>
    <t>4719A-06</t>
  </si>
  <si>
    <t>4719A-07</t>
  </si>
  <si>
    <t>HILLTOP BASIC-PATRIOT"HILLTOP BASIC-DOWNTOWN CINC"</t>
  </si>
  <si>
    <t>4738A-17</t>
  </si>
  <si>
    <t>CARMEUSE"MARTIN MARIETA-RAVENSWOOD,WVA"</t>
  </si>
  <si>
    <t>4745A-01</t>
  </si>
  <si>
    <t>4747A-01</t>
  </si>
  <si>
    <t>4783A-01</t>
  </si>
  <si>
    <t>4783A-16</t>
  </si>
  <si>
    <t>HILLTOP BASIC-BUTLER"MARTIN MARIETTA-KELLOGG"</t>
  </si>
  <si>
    <t>4791A-01</t>
  </si>
  <si>
    <t>4807A-01</t>
  </si>
  <si>
    <t>4837A-01</t>
  </si>
  <si>
    <t>4903A-01</t>
  </si>
  <si>
    <t>4907A-01</t>
  </si>
  <si>
    <t>MELVIN STONE-SANDS HILL</t>
  </si>
  <si>
    <t>1803 CHARLES BIERHUP RD</t>
  </si>
  <si>
    <t>4937A-14</t>
  </si>
  <si>
    <t>RIVERSIDE-BATTLETOWN"MARTIN MARIETA-PARKERSBURG"</t>
  </si>
  <si>
    <t>4937A-16</t>
  </si>
  <si>
    <t>4937A-17</t>
  </si>
  <si>
    <t>RIVERSIDE"MARTIN MARIETTA-RAVENSWOOD,WVA"</t>
  </si>
  <si>
    <t>4937A-39</t>
  </si>
  <si>
    <t>RIVERSIDE"MARTIN MARIETTA-NEW MARTINSVILE"</t>
  </si>
  <si>
    <t>4948A-01</t>
  </si>
  <si>
    <t>4950A-01</t>
  </si>
  <si>
    <t>4959A-01</t>
  </si>
  <si>
    <t>MAR-ZANE MATERIALS-LOGAN</t>
  </si>
  <si>
    <t>29489 CHIEFTAIN DR</t>
  </si>
  <si>
    <t>4959A-84</t>
  </si>
  <si>
    <t>MAR-ZANE MATERIALS-LOGAN"SHELLY MATLS-LANCASTER"</t>
  </si>
  <si>
    <t>4959B-01</t>
  </si>
  <si>
    <t>29489 CHIEFTAN DR</t>
  </si>
  <si>
    <t>5017C-01</t>
  </si>
  <si>
    <t>HOLMES REDIMIX CONCRETE-MILLERSBURG</t>
  </si>
  <si>
    <t>5038A-01</t>
  </si>
  <si>
    <t>5057C-01</t>
  </si>
  <si>
    <t>9552A-01</t>
  </si>
  <si>
    <t>PRODR_SUPP_CD</t>
  </si>
  <si>
    <t>PRODR_SUPP_NM</t>
  </si>
  <si>
    <t>DISTRICT</t>
  </si>
  <si>
    <t>PHYSICAL ADDR</t>
  </si>
  <si>
    <t>CITY_NM</t>
  </si>
  <si>
    <t>ST_PRVCE</t>
  </si>
  <si>
    <t>POSTAL_CD</t>
  </si>
  <si>
    <t>MAR</t>
  </si>
  <si>
    <t>Grand Total</t>
  </si>
  <si>
    <t>12</t>
  </si>
  <si>
    <t>CUY</t>
  </si>
  <si>
    <t>LAK</t>
  </si>
  <si>
    <t>04</t>
  </si>
  <si>
    <t>SUM</t>
  </si>
  <si>
    <t>XXX</t>
  </si>
  <si>
    <t>PENN</t>
  </si>
  <si>
    <t>STA</t>
  </si>
  <si>
    <t>03</t>
  </si>
  <si>
    <t>MED</t>
  </si>
  <si>
    <t>MAH</t>
  </si>
  <si>
    <t>08</t>
  </si>
  <si>
    <t>CLE</t>
  </si>
  <si>
    <t>02</t>
  </si>
  <si>
    <t>SAN</t>
  </si>
  <si>
    <t>POR</t>
  </si>
  <si>
    <t>07</t>
  </si>
  <si>
    <t>SHE</t>
  </si>
  <si>
    <t>MOT</t>
  </si>
  <si>
    <t>CLA</t>
  </si>
  <si>
    <t>MIA</t>
  </si>
  <si>
    <t>09</t>
  </si>
  <si>
    <t>SCI</t>
  </si>
  <si>
    <t>10</t>
  </si>
  <si>
    <t>NOB</t>
  </si>
  <si>
    <t>WAS</t>
  </si>
  <si>
    <t>GEA</t>
  </si>
  <si>
    <t>05</t>
  </si>
  <si>
    <t>LIC</t>
  </si>
  <si>
    <t>LUC</t>
  </si>
  <si>
    <t>HAM</t>
  </si>
  <si>
    <t>ATB</t>
  </si>
  <si>
    <t>11</t>
  </si>
  <si>
    <t>MOE</t>
  </si>
  <si>
    <t>COS</t>
  </si>
  <si>
    <t>AUG</t>
  </si>
  <si>
    <t>GUE</t>
  </si>
  <si>
    <t>LOG</t>
  </si>
  <si>
    <t>JAC</t>
  </si>
  <si>
    <t>ERI</t>
  </si>
  <si>
    <t>HIG</t>
  </si>
  <si>
    <t>HOL</t>
  </si>
  <si>
    <t>DAR</t>
  </si>
  <si>
    <t>FUL</t>
  </si>
  <si>
    <t>OTT</t>
  </si>
  <si>
    <t>01</t>
  </si>
  <si>
    <t>ALL</t>
  </si>
  <si>
    <t>WOO</t>
  </si>
  <si>
    <t>WIL</t>
  </si>
  <si>
    <t>MICH</t>
  </si>
  <si>
    <t>BEL</t>
  </si>
  <si>
    <t>HOC</t>
  </si>
  <si>
    <t>IND</t>
  </si>
  <si>
    <t>TUS</t>
  </si>
  <si>
    <t>WYA</t>
  </si>
  <si>
    <t>10157 VETO RD</t>
  </si>
  <si>
    <t>TRU</t>
  </si>
  <si>
    <t>LOR</t>
  </si>
  <si>
    <t>PAU</t>
  </si>
  <si>
    <t>PIK</t>
  </si>
  <si>
    <t>ATH</t>
  </si>
  <si>
    <t>ROS</t>
  </si>
  <si>
    <t>SEN</t>
  </si>
  <si>
    <t>ADA</t>
  </si>
  <si>
    <t>BRO</t>
  </si>
  <si>
    <t>HAS</t>
  </si>
  <si>
    <t>MEG</t>
  </si>
  <si>
    <t>GRE</t>
  </si>
  <si>
    <t>BUT</t>
  </si>
  <si>
    <t>WAR</t>
  </si>
  <si>
    <t>RIC</t>
  </si>
  <si>
    <t>MUS</t>
  </si>
  <si>
    <t>FAI</t>
  </si>
  <si>
    <t>PER</t>
  </si>
  <si>
    <t>CHP</t>
  </si>
  <si>
    <t>06</t>
  </si>
  <si>
    <t>PIC</t>
  </si>
  <si>
    <t>CLI</t>
  </si>
  <si>
    <t>FAY</t>
  </si>
  <si>
    <t>MAD</t>
  </si>
  <si>
    <t>GAL</t>
  </si>
  <si>
    <t>FRA</t>
  </si>
  <si>
    <t>CRA</t>
  </si>
  <si>
    <t>WAY</t>
  </si>
  <si>
    <t>MRW</t>
  </si>
  <si>
    <t>DEL</t>
  </si>
  <si>
    <t>VAN</t>
  </si>
  <si>
    <t>HAN</t>
  </si>
  <si>
    <t>PUT</t>
  </si>
  <si>
    <t>KNO</t>
  </si>
  <si>
    <t>CAR</t>
  </si>
  <si>
    <t>JEF</t>
  </si>
  <si>
    <t>HAR</t>
  </si>
  <si>
    <t>UNI</t>
  </si>
  <si>
    <t>COL</t>
  </si>
  <si>
    <t>MER</t>
  </si>
  <si>
    <t>PRE</t>
  </si>
  <si>
    <t>ASD</t>
  </si>
  <si>
    <t>COUNTY</t>
  </si>
  <si>
    <t>DUPLICATE</t>
  </si>
  <si>
    <t>PRODR_SUPP_CD2</t>
  </si>
  <si>
    <t>CITY, STATE, ZIP</t>
  </si>
  <si>
    <t xml:space="preserve">Ohio County in Which Plant is Located </t>
  </si>
  <si>
    <t>Physical Address of Plant</t>
  </si>
  <si>
    <t>PRODR_SUPP_NM2</t>
  </si>
  <si>
    <t>TYPE</t>
  </si>
  <si>
    <t>Plant Address</t>
  </si>
  <si>
    <t>City, State, ZIP</t>
  </si>
  <si>
    <t>P/S Number</t>
  </si>
  <si>
    <r>
      <rPr>
        <b/>
        <sz val="10"/>
        <color rgb="FFFF0000"/>
        <rFont val="Arial"/>
        <family val="2"/>
      </rPr>
      <t>"CURRENT APPROVED PLANT LIST"</t>
    </r>
    <r>
      <rPr>
        <sz val="10"/>
        <rFont val="Arial"/>
        <family val="2"/>
      </rPr>
      <t xml:space="preserve">
The current dropdown list contains more than 500 plants.
PLEASE NOTE THAT SOME AGGREGATE SUPPPLIER HAVE MULTIPLE PLANTS.
Please check the address to confirm the correct location.
We have added a tab with the approved Plants and provided a number of filters
that will assist in confirming th Plant(s) you wish to bid on are listed.
</t>
    </r>
  </si>
  <si>
    <r>
      <rPr>
        <b/>
        <sz val="9"/>
        <rFont val="Verdana"/>
        <family val="2"/>
      </rPr>
      <t xml:space="preserve">You Must Select a Plant from the List  </t>
    </r>
    <r>
      <rPr>
        <b/>
        <sz val="8"/>
        <rFont val="Verdana"/>
        <family val="2"/>
      </rPr>
      <t xml:space="preserve">         (Use dropdown button at right) &gt;&gt;&gt;&gt;</t>
    </r>
  </si>
  <si>
    <t xml:space="preserve">* The PS Code stands for Producer Supplier Code.  ODOT Materials Management assigns this code to approved suppliers.  
It identifies the pit, mine, or redistribution yard from where the quoted aggregate comes.   
Any pit, mine or redistribution yard that does not have a PS Code approved by ODOT, is not eligible for award of this bid. </t>
  </si>
  <si>
    <r>
      <t xml:space="preserve">SELECT PLANT NAME FROM DROPDOWN ( </t>
    </r>
    <r>
      <rPr>
        <b/>
        <sz val="10"/>
        <color rgb="FFFF0000"/>
        <rFont val="Arial"/>
        <family val="2"/>
      </rPr>
      <t xml:space="preserve">Click in box </t>
    </r>
    <r>
      <rPr>
        <b/>
        <sz val="10"/>
        <rFont val="Arial"/>
        <family val="2"/>
      </rPr>
      <t>)&gt;&gt;&gt;&gt;&gt;</t>
    </r>
  </si>
  <si>
    <t xml:space="preserve">    FOR EACH ITEM YOU WISH TO BID, PROVIDE A UNIT PRICE.</t>
  </si>
  <si>
    <t xml:space="preserve">    FOR ITEMS THAT YOU DO NOT WISH TO PROVIDE A BID FOR, PLEASE LEAVE BLANK.</t>
  </si>
  <si>
    <t xml:space="preserve">    COMPLETE ALL VENDOR INFORMATION ABOVE</t>
  </si>
  <si>
    <t xml:space="preserve"> </t>
  </si>
  <si>
    <t>PURCHPWD#2</t>
  </si>
  <si>
    <t>AGGREGATE PLANT PICKUP</t>
  </si>
  <si>
    <t>First  5 Miles of Haul Distance (Per Ton)</t>
  </si>
  <si>
    <t>From 5 Miles to Destination (Ton-Mile)</t>
  </si>
  <si>
    <t>Minimum Distance Required (Y or N) first 5 miles</t>
  </si>
  <si>
    <t>Minimum Distance Required (Y or N) from 5 miles to Destination</t>
  </si>
  <si>
    <t>Minimum Delivery (In Tons) First 5 miles</t>
  </si>
  <si>
    <t>Minimum Delivery (In Tons) from 5 miles to Destination</t>
  </si>
  <si>
    <t>No. 1 Material and Smaller</t>
  </si>
  <si>
    <t>Dump Rock Fill Material</t>
  </si>
  <si>
    <t>Trasnport Salt From one ODOT Location to another ODOT Location</t>
  </si>
  <si>
    <t>Per Ton Mile</t>
  </si>
  <si>
    <t>81 Innovation Dr., Xenia, OH 45385</t>
  </si>
  <si>
    <t>521 E Main St, Hillsboro, OH 45133</t>
  </si>
  <si>
    <t>3263 E 44th Pl, Cleveland, OH 44127</t>
  </si>
  <si>
    <t>I-90 EB, 0.84 mi. east of SR 91, Willoughby Hills, OH 44094 (Old Weigh Scale)</t>
  </si>
  <si>
    <t>2340 Baltimore Rd., Defiance 43512</t>
  </si>
  <si>
    <t>1645 Lima Ave., Findlay 45840</t>
  </si>
  <si>
    <t>13052 US 68, Kenton 43326</t>
  </si>
  <si>
    <t>833 W. Wayne St., Paulding 45879</t>
  </si>
  <si>
    <r>
      <t>617 E. 11</t>
    </r>
    <r>
      <rPr>
        <vertAlign val="superscript"/>
        <sz val="10"/>
        <color rgb="FF000000"/>
        <rFont val="Arial"/>
        <family val="2"/>
      </rPr>
      <t>th</t>
    </r>
    <r>
      <rPr>
        <sz val="10"/>
        <color rgb="FF000000"/>
        <rFont val="Arial"/>
        <family val="2"/>
      </rPr>
      <t xml:space="preserve"> St. (Intersection SR 65 &amp; 11</t>
    </r>
    <r>
      <rPr>
        <vertAlign val="superscript"/>
        <sz val="10"/>
        <color rgb="FF000000"/>
        <rFont val="Arial"/>
        <family val="2"/>
      </rPr>
      <t>th</t>
    </r>
    <r>
      <rPr>
        <sz val="10"/>
        <color rgb="FF000000"/>
        <rFont val="Arial"/>
        <family val="2"/>
      </rPr>
      <t xml:space="preserve"> Street), Ottawa, 45875</t>
    </r>
  </si>
  <si>
    <t>10238 Van Wert-Decatur Rd., Van Wert 45891</t>
  </si>
  <si>
    <t>10976 County Highway 121, Upper Sandusky 43351</t>
  </si>
  <si>
    <t>Edison Bridge Outpost, 4560 E. Bayshore Rd. 43452, Port Clinton</t>
  </si>
  <si>
    <t>1891 N. State Route 53, Fremont, Ohio 43420</t>
  </si>
  <si>
    <t>8878 State Route 108, Wauseon, Ohio 43567</t>
  </si>
  <si>
    <t>946 N. Clark St., Ashland, OH 44805</t>
  </si>
  <si>
    <t>165 South Huron St. , Milan, OH 44846</t>
  </si>
  <si>
    <t>14420 Kneisel Rd., Vermilion, OH 44089</t>
  </si>
  <si>
    <t>760 Dublin Rd., Norwalk, OH 44857</t>
  </si>
  <si>
    <t>405 West Lorain St. &amp; S.R. 511, Oberlin, OH 44074</t>
  </si>
  <si>
    <t>1749 Moore Rd., Avon, OH 44011</t>
  </si>
  <si>
    <t>10224 Avon Lake Rd, Burbank, OH 44214</t>
  </si>
  <si>
    <t>3220 Medina Rd. &amp; St. Rt. 18, Medina, OH 44256</t>
  </si>
  <si>
    <t>4993 Atlantic Drive Seville Ohio, 44273</t>
  </si>
  <si>
    <t>1256 West 4th St., Mansfield, OH 44906</t>
  </si>
  <si>
    <t>Lexington OP, 808 Kochheiser Rd., Bellville,, OH 44813</t>
  </si>
  <si>
    <t>233 Rivercrest Dr., Coshocton, OH 43812</t>
  </si>
  <si>
    <t>25939 SR 206, New Castle, OH 43843</t>
  </si>
  <si>
    <t>1894 West Market St., Baltimore, OH 43105</t>
  </si>
  <si>
    <t>5840 Logan-Thornville Rd. NE, Rushville, OH 43150</t>
  </si>
  <si>
    <t>6490 Glenn Highway, Cambridge, OH 43725</t>
  </si>
  <si>
    <t>North Salem OP, 72450 Old 21 Rd., Kimbolton, OH 43749</t>
  </si>
  <si>
    <t>Old Washington OP, 63064 Winter Green Rd., Lore City, OH 43755</t>
  </si>
  <si>
    <t>505 Harcourt Rd., Mt. Vernon, OH 43050</t>
  </si>
  <si>
    <t>44 Mt. Vernon Ave., Fredericktown, 43010</t>
  </si>
  <si>
    <t>9600 Jacksontown Rd., Jacksontown, OH 43030</t>
  </si>
  <si>
    <t>Etna OP, 10250 Refugee Rd., Pataskala, OH 43062</t>
  </si>
  <si>
    <t>2142 Johnstown-Utica Rd., Utica, OH 43080</t>
  </si>
  <si>
    <t>10694 Brownsville Rd., SW, Brownsville, OH 43721</t>
  </si>
  <si>
    <t>Marne OP, 11416 Marne Rd., Newark, OH 43055</t>
  </si>
  <si>
    <t>3399 East Pike, Zanesville, OH 43701</t>
  </si>
  <si>
    <t>4625 South River Road, Duncan Falls, OH 43734</t>
  </si>
  <si>
    <t>Moxahala OP, 3799 Maysville Pike, South Zanesville, OH 43701</t>
  </si>
  <si>
    <t>2405 SR 13, New Lexington, OH 43764  ( 0.3 mi. n. of SR 37)</t>
  </si>
  <si>
    <t>8686 SR 155, Shawnee, OH 43782</t>
  </si>
  <si>
    <t>Berkshire OP, 7016 E State Route 37, Sunbury, Oh  43074</t>
  </si>
  <si>
    <t>Delaware Co. Gar.,1150 U.S. 42 North, Delaware, OH 43015</t>
  </si>
  <si>
    <t>Fayette Co. Gar., 2331 US 22 SW, Washington Court House, OH 43160</t>
  </si>
  <si>
    <t>Jeffersonville OP, 11859 OH-435, Jeffersonville, OH 43128</t>
  </si>
  <si>
    <t>Fifth Ave. OP, 3500 E Fifth Avenue, Columbus OH 43219</t>
  </si>
  <si>
    <t>Grove City OP, 6000 Haughn Road, Grove City OH 43123 (SR 665 &amp; I-71)</t>
  </si>
  <si>
    <t>Hilliard OP, 4400 Currency Drive, Columbus OH 43288</t>
  </si>
  <si>
    <t>Franklin Co. Gar.,4730 E Dublin-Granville Road, Westerville OH 43081</t>
  </si>
  <si>
    <t>Marion Co. Gar., 1775 Marion-Williamsport Road E., Marion, OH 43302</t>
  </si>
  <si>
    <t>Chesterville OP, 3988 Co Rd 172, Mount Gilead, OH 43338</t>
  </si>
  <si>
    <t>Morrow Co. Gar., 710 E. Union St, Mt. Gilead, OH 43338</t>
  </si>
  <si>
    <t>Pickaway Co. Gar., 150 Highland Avenue, Circleville, OH 43113</t>
  </si>
  <si>
    <t>Union Co. Gar., 1717 Collins Ave Marysville, OH  43040</t>
  </si>
  <si>
    <t>Richwood OP, 11304 SR 47, Richwood, OH 43344</t>
  </si>
  <si>
    <t>802 Armstrong Street, Saint Marys, OH 45885</t>
  </si>
  <si>
    <t>511 Commerce Dr., Wapakoneta, OH 45895</t>
  </si>
  <si>
    <t>2030 N. State Route 235, St. Paris, OH 43084</t>
  </si>
  <si>
    <t>217 S. Edgewood Ave., Urbana, OH 43078</t>
  </si>
  <si>
    <t>Mechanicsburg OP,1544 State Route 559, Woodstock, OH 43084</t>
  </si>
  <si>
    <t>2310 Enon Road, Enon, OH 45323</t>
  </si>
  <si>
    <t>7875 E. National Rd. South Charleston, OH 45368</t>
  </si>
  <si>
    <t>1630 W. First Street, Springfield, OH 45504</t>
  </si>
  <si>
    <t>10382 Greenville - St Marys, Versailles, OH 45380</t>
  </si>
  <si>
    <t>5230 Industrial Way, Greenville, OH 45331</t>
  </si>
  <si>
    <t>9254 State Route 235 North, Lakeview, OH 43331</t>
  </si>
  <si>
    <t>E. Liberty OP, 4315 State Route 292, Zanesfield, OH 43319</t>
  </si>
  <si>
    <t>149 Northview Drive, Bellefontaine, OH 43311</t>
  </si>
  <si>
    <t>4444 State Route 29 West, Celina, OH 45822</t>
  </si>
  <si>
    <t>Cassella OP, 5882 State Route 119, St. Henry, OH 45883</t>
  </si>
  <si>
    <t>Mercer OP, 5729 Mercer Road, Mendon, OH 45862</t>
  </si>
  <si>
    <t>2423 W. State Route 55, Troy, OH 45373</t>
  </si>
  <si>
    <t>9015 Looney Road, Piqua, OH 45356</t>
  </si>
  <si>
    <t>7130 Shull Road, Huber Heights, OH 45424</t>
  </si>
  <si>
    <t>300 Smith Drive, Clayton, OH 45315</t>
  </si>
  <si>
    <t>3500 Dryden Road, Moraine, OH 45439</t>
  </si>
  <si>
    <t>2190 Saint Marys Avenue, Sidney, OH 45365</t>
  </si>
  <si>
    <t>Newport OP, 4339 W. State Route 47, Ft. Loramie, OH 45845</t>
  </si>
  <si>
    <t>4560 Kyles Station, Hamilton, OH 45011</t>
  </si>
  <si>
    <t>4011 Tytus Ave., Middletown, OH 45042</t>
  </si>
  <si>
    <t>Batavia Garage, 3600 SR 132, Amelia, OH 45102</t>
  </si>
  <si>
    <t>809 U. S. Route 50, Milford, OH 45150</t>
  </si>
  <si>
    <t>939 Old U. S. Route 52, New Richmond, OH 45157</t>
  </si>
  <si>
    <t>5996 U. S. Route 68, Wilmington, OH 45177  (I-71 &amp; USR 68 OP)</t>
  </si>
  <si>
    <t>3382 U. S. Route 68, Wilmington, OH 45177</t>
  </si>
  <si>
    <t>Blue Ash OP, 11590 Grooms Road, Blue Ash, OH 45242</t>
  </si>
  <si>
    <t>Hamilton Garage, Carthage, 1400 E. Seymour Ave., Cincinnati, OH 45327</t>
  </si>
  <si>
    <t>5903 State Route 128, Miamitown, OH 45041</t>
  </si>
  <si>
    <t>40' Pitch OP, 5656 US 127 North, Eaton, OH 45320</t>
  </si>
  <si>
    <t>234 Quaker Trace Road, West Alexandria, OH 45381</t>
  </si>
  <si>
    <t>Monroe OP, 6101 State Route 63, Lebanon, OH 45036</t>
  </si>
  <si>
    <t>1790 Cornett Drive, Lebanon, OH 45036</t>
  </si>
  <si>
    <t>1305 Measley Ridge Rd. Peebles, OH 45660</t>
  </si>
  <si>
    <t>220 CIC Blvd., West Union, OH 45693</t>
  </si>
  <si>
    <t>5124 S.R. 125 Georgetown, OH 45121</t>
  </si>
  <si>
    <t>White Oak OP, 5033 Canyon Rd. Mount Orab, OH 45134</t>
  </si>
  <si>
    <t>2251 Rice Rd. Jackson, OH 45640</t>
  </si>
  <si>
    <t>13366 SR 279, Oak Hill, OH 45656</t>
  </si>
  <si>
    <t>450 Commerce Drive Ironton, OH 45638</t>
  </si>
  <si>
    <t>10332 S.R. 775 Proctorville, OH 45669</t>
  </si>
  <si>
    <t>255 Larrick Lane Chillicothe, OH 45601</t>
  </si>
  <si>
    <t>9187 U.S. 23 Lucasville, OH 45648</t>
  </si>
  <si>
    <t>14 Hayport Rd. Wheelersburg, OH 45694</t>
  </si>
  <si>
    <t>Tuppers Plains OP, 42875 State Route 7, Coolville, OH 45723</t>
  </si>
  <si>
    <t>700 West Union St. (SR 56), Athens, OH 45701</t>
  </si>
  <si>
    <t>2397 Jackson Pike (Jct. US 35 &amp; SR 160), Bidwell, OH 45614</t>
  </si>
  <si>
    <t>13176 State Route 664 South, Logan, OH 43138</t>
  </si>
  <si>
    <t>Laurelville OP, 16298 Pike Street, Laurelville, OH 43135</t>
  </si>
  <si>
    <t>34449 SR 7, Pomeroy, OH 45769</t>
  </si>
  <si>
    <t>47028 SR 26, Woodsfield, OH 43793</t>
  </si>
  <si>
    <t>4205 Monastery Rd., McConnelsville, OH 43756</t>
  </si>
  <si>
    <t>1650 Greene St. (SR 26), Marietta, OH 45750</t>
  </si>
  <si>
    <t>41061 Bond Dr., Belmont, OH 43718</t>
  </si>
  <si>
    <t>49226 Wabash Ave., St. Clairsville, OH 43950</t>
  </si>
  <si>
    <t>36340 W. Captina Hwy., Barnesville, OH 43713</t>
  </si>
  <si>
    <t>56880 McGee Rd., Shadyside, OH 43947</t>
  </si>
  <si>
    <t>258 Kensington Rd., Carrollton, OH 44615</t>
  </si>
  <si>
    <t>Apples Corners OP, 14745 Old Lincoln Hwy.,  East Liverpool, OH 43920</t>
  </si>
  <si>
    <t>Unity OP, 2099 SR 165, East Palestine, OH 44413</t>
  </si>
  <si>
    <t>33606 US 30, Lisbon, OH 44432</t>
  </si>
  <si>
    <t>Harrison Co. Gar., 43041 S. Industrial Park Rd.,Cadiz, OH 43907</t>
  </si>
  <si>
    <t>76001 Smyrna Rd., Freeport, OH 43973</t>
  </si>
  <si>
    <t>Nashville OP, 14785 SR 39, Lakeville, OH 44638</t>
  </si>
  <si>
    <t>600 N. College St., Newcomerstown, OH 43832</t>
  </si>
  <si>
    <t>384 Stonecreek Rd. SE, New Philadelphia, OH 44663</t>
  </si>
  <si>
    <t>5430 Lake Ct., Cleveland, OH 44114</t>
  </si>
  <si>
    <t>5469 Old Brecksville Rd., Independence, OH 44131</t>
  </si>
  <si>
    <t>Riveredge Yard, 4900 Old Grayton Rd., Cleveland, OH 44135</t>
  </si>
  <si>
    <t>25609 Emery Rd., Warrensville Heights, OH 44128</t>
  </si>
  <si>
    <t>13595 W. Center St.(Rt. 87), Burton, OH 44021</t>
  </si>
  <si>
    <t>16556 G.A.R. Highway (Route 6), Montville Twp., OH 44064</t>
  </si>
  <si>
    <t>Munson Yard, 12453 Bass Lake Rd. (Off  Route 322) Munson Twp., OH 44024</t>
  </si>
  <si>
    <t>18186 Tavern Rd.(Route 168), Parkman Twp., OH 44080</t>
  </si>
  <si>
    <t>10 Blackbrook Rd., Painesville, OH 44077</t>
  </si>
  <si>
    <t>Unionville OP, 3210 County Line Rd., Madison Twp., OH 44057</t>
  </si>
  <si>
    <t>6073 Vrooman Rd., Leroy Township., OH 44077</t>
  </si>
  <si>
    <t>1218 Business Park Dr. S, North Baltimore, OH 45872</t>
  </si>
  <si>
    <t>2595 St. Rt. 39, Perrysville, OH 44864</t>
  </si>
  <si>
    <t>1654 South Avon Belden Road, Grafton, Ohio 44044</t>
  </si>
  <si>
    <t>3000 Sandusky St. (route 61) Plymouth, Ohio 44865</t>
  </si>
  <si>
    <t>30931 State Route 93, McArthur, OH 45651</t>
  </si>
  <si>
    <t>15825 County Road 25A, Botkins, OH 45306</t>
  </si>
  <si>
    <t>2201 Reiser Ave. SE, New Philadelphia, OH 44663</t>
  </si>
  <si>
    <t>37201 Scio Bowerstown Rd, Scio OH 43988</t>
  </si>
  <si>
    <t>2638 SR 14, Deerfield, OH   44411</t>
  </si>
  <si>
    <t>3018 Richville Drive SE, Massillon, OH 44646</t>
  </si>
  <si>
    <t>492 Seven Hills Rd., Ashtabula, OH  44004</t>
  </si>
  <si>
    <t>879 SR 7, Conneaut, OH  44030</t>
  </si>
  <si>
    <t>2325 SR 193, Dorset, OH   44032</t>
  </si>
  <si>
    <t>Harpersfield OP, 5420 SR 534, Geneva, OH    44041</t>
  </si>
  <si>
    <t>5451 SR 45, Rome, OH   44085</t>
  </si>
  <si>
    <t>5820 SR 322, Williamsfield, OH  44093</t>
  </si>
  <si>
    <t>401 W. Main St., Canfield, OH  44406</t>
  </si>
  <si>
    <t>385 N. Bailey Rd., North Jackson, OH   44451</t>
  </si>
  <si>
    <t>10720 Market St., N. Lima, OH    44452</t>
  </si>
  <si>
    <t>Intersection SR14 &amp; Pricetown Road, Beloit, OH, 44609</t>
  </si>
  <si>
    <t>South Avenue OP, I-680 &amp; South Ave. (Mp7) 1510 S. Ave., Youngstown, OH   44502</t>
  </si>
  <si>
    <t>Drakesburg OP, 9068 SR 88, Windham, OH   44288</t>
  </si>
  <si>
    <t>Millersburg OP, 12751 Millersburg SW,  Massillon, 44647 (corner of SR 241 &amp; SR 93)</t>
  </si>
  <si>
    <t>Boston Heights Garage, 6155 Chittenden Rd., Hudson, OH 44236</t>
  </si>
  <si>
    <t>8820 Darow Rd., Twinsburg, OH   44087</t>
  </si>
  <si>
    <t>Norton OP, 3349 SR 21, Norton, OH   44203 (Interchange  I-76 and SR 21)</t>
  </si>
  <si>
    <t>Greensburg OP, 4377 Mt. Pleasant Road, North Canton, , OH   44272  (1/4 mi. n. of I-77 Airport exit.)</t>
  </si>
  <si>
    <t>Kelly Ave. OP, 1240 Starlight Dr., Akron, OH  44306</t>
  </si>
  <si>
    <t>Brookfield OP, 1590 Brookfield Rd. S.E. (SR 7), Hubbard, OH   44425</t>
  </si>
  <si>
    <t>310 Second St., Cortland, OH   44410</t>
  </si>
  <si>
    <t>Gustavus OP, 2979 Kinsman Rd., North Bloomfield, OH 44450</t>
  </si>
  <si>
    <t>Farmington OP, 6265 SR 534, W. Farmington, OH  44491</t>
  </si>
  <si>
    <t>Warren OP, SR 5 &amp; Diehl S., Leavittsburg, OH   44430</t>
  </si>
  <si>
    <t>44309</t>
  </si>
  <si>
    <t>7364 Tod Avenue Southwest</t>
  </si>
  <si>
    <t>Lordstown</t>
  </si>
  <si>
    <t>GERKEN CO-WEST MILLGROVE"GERKEN CO-STONY RIDGE"</t>
  </si>
  <si>
    <t>04108-90</t>
  </si>
  <si>
    <t>5601 CHERRY ST.</t>
  </si>
  <si>
    <t>HEN</t>
  </si>
  <si>
    <t>STONY RIDGE</t>
  </si>
  <si>
    <t>43463</t>
  </si>
  <si>
    <t>GERKEN CO - GLACIAL S&amp;G"GERKEN CO - SYLVANIA"</t>
  </si>
  <si>
    <t>04156-91</t>
  </si>
  <si>
    <t>8200 SYLVANIA AVE</t>
  </si>
  <si>
    <t>GERKEN CO-TECUMSEH"GERKEN CO-SYLVANIA"</t>
  </si>
  <si>
    <t>04159-91</t>
  </si>
  <si>
    <t>3828 DUDLEY ROAD</t>
  </si>
  <si>
    <t>LEHIGH HANSON-BESSEMER</t>
  </si>
  <si>
    <t>04311-01</t>
  </si>
  <si>
    <t>146 MCQUISTON LANE</t>
  </si>
  <si>
    <t>BESSEMER</t>
  </si>
  <si>
    <t>16112</t>
  </si>
  <si>
    <t>STONECO ALLIED CORP-PETERSBURG</t>
  </si>
  <si>
    <t>AMERICAN S&amp;G-HIGH MILL PlANT #6</t>
  </si>
  <si>
    <t>AMERIKOHL AGGREGATES-MOSCIPAN QUARRY</t>
  </si>
  <si>
    <t>04384-01</t>
  </si>
  <si>
    <t>2645 SAVANNAH RD</t>
  </si>
  <si>
    <t>NEW CASTLE</t>
  </si>
  <si>
    <t>16101</t>
  </si>
  <si>
    <t>AMERIKOHL AGGREGATES - GARDNER QUARRY</t>
  </si>
  <si>
    <t>04386-01</t>
  </si>
  <si>
    <t>1401 WOODSIDE AVE</t>
  </si>
  <si>
    <t>ELLWOOD CITY</t>
  </si>
  <si>
    <t>16117</t>
  </si>
  <si>
    <t>1400 FOX LANE</t>
  </si>
  <si>
    <t>550 ROWE RD</t>
  </si>
  <si>
    <t>WEBER MATERIALS-ST MARYS</t>
  </si>
  <si>
    <t>MELVIN STONE-MELVIN"MELVIN STONE-KILBY RAIL YARD"</t>
  </si>
  <si>
    <t>04721-94</t>
  </si>
  <si>
    <t>CARMEUSE-MAYSVILLE"MAR-ZANE MATERIALS-BENWOOD"</t>
  </si>
  <si>
    <t>04738-44</t>
  </si>
  <si>
    <t>CARMEUSE-MAYSVILLE"OHIO RIVER AGG - CLARINGTON"</t>
  </si>
  <si>
    <t>04738-82</t>
  </si>
  <si>
    <t>48482 S.R. 7</t>
  </si>
  <si>
    <t>CARMEUSE-MAYSVILLE"YAGER MATERIALS-EGYPT VALLEY"</t>
  </si>
  <si>
    <t>04738-99</t>
  </si>
  <si>
    <t>66901 EGYPT NORTH RD</t>
  </si>
  <si>
    <t>MORRISTOWN</t>
  </si>
  <si>
    <t>43759</t>
  </si>
  <si>
    <t>YAGER MATLS-OWENSBORO"MAR-ZANE MATLS-BENWOOD"</t>
  </si>
  <si>
    <t>04795-44</t>
  </si>
  <si>
    <t>TOW PATH MATERIALS - CHILLICOTHE</t>
  </si>
  <si>
    <t>04850-01</t>
  </si>
  <si>
    <t>12360 S.R. 104</t>
  </si>
  <si>
    <t>MOUNTAIN MATERIALS-BRUSHY CREEK STONE</t>
  </si>
  <si>
    <t>04851-01</t>
  </si>
  <si>
    <t>11097 KY ROUTE 2</t>
  </si>
  <si>
    <t>3059 WASHINGTON BOULEVARD</t>
  </si>
  <si>
    <t>MULZER CR-CAPE SANDY"CINCY BULK TERMINALS"</t>
  </si>
  <si>
    <t>04932-97</t>
  </si>
  <si>
    <t>895 WEST MEHRING WAY</t>
  </si>
  <si>
    <t>45203</t>
  </si>
  <si>
    <t>MULZER-CHARLESTOWN"YAGER MATERIALS-EGYPT VALLEY"</t>
  </si>
  <si>
    <t>04933-99</t>
  </si>
  <si>
    <t>SHELLY MATLS-REEDSVILLE"HANSON-CORAOPOLIS YARD"</t>
  </si>
  <si>
    <t>04945-95</t>
  </si>
  <si>
    <t>819 PENNSYLVAIA AVE</t>
  </si>
  <si>
    <t>700 SR 278</t>
  </si>
  <si>
    <t>619 Sand Hill Way</t>
  </si>
  <si>
    <t>MCKEE MATERIALS-NELSONVILLE #2</t>
  </si>
  <si>
    <t>04961-01</t>
  </si>
  <si>
    <t>ELKO AGGREGATE-GUYSVILLE</t>
  </si>
  <si>
    <t>04962-01</t>
  </si>
  <si>
    <t>2166 BLACKWOOD RD</t>
  </si>
  <si>
    <t>GUYSVILLE</t>
  </si>
  <si>
    <t>STOCKER-PT. WASHINGTON"MAR-ZANE-BYESVILLE"</t>
  </si>
  <si>
    <t>05038-92</t>
  </si>
  <si>
    <t>59903 VOCATIONAL RD.</t>
  </si>
  <si>
    <t>BYESVILLE</t>
  </si>
  <si>
    <t>43723</t>
  </si>
  <si>
    <t>82950 Cadiz-Jewitt Rd</t>
  </si>
  <si>
    <t>LEHIGH HANSON - SPRINGFIELD PIKE</t>
  </si>
  <si>
    <t>05076-01</t>
  </si>
  <si>
    <t>2200 SPRINGFIELD PIKE</t>
  </si>
  <si>
    <t>CONNELSVILLE</t>
  </si>
  <si>
    <t>15468</t>
  </si>
  <si>
    <t>LEHIGH HANSON-SPRINGFIELD PIKE " SWANK YARD"</t>
  </si>
  <si>
    <t>05076-93</t>
  </si>
  <si>
    <t>590 SIMS DRIVE</t>
  </si>
  <si>
    <t>TRIDELPHIA</t>
  </si>
  <si>
    <t>26059</t>
  </si>
  <si>
    <t>KIMBLE CLAY &amp; LS - SLANKARD</t>
  </si>
  <si>
    <t>05078-01</t>
  </si>
  <si>
    <t>8195 DOLPHIN ST S.W.</t>
  </si>
  <si>
    <t>BOLIVER</t>
  </si>
  <si>
    <t>RANKIN-PORT COLBOURNE"PINNEY DOCK-ASHTABULA"</t>
  </si>
  <si>
    <t>05112-31</t>
  </si>
  <si>
    <t>1149 E. 5TH ST.</t>
  </si>
  <si>
    <t>CARMEUSE CEDARVILLE"PINNEY DOCK-ASHTABULA"</t>
  </si>
  <si>
    <t>05115-31</t>
  </si>
  <si>
    <t>2100 W 3RD ST.</t>
  </si>
  <si>
    <t>INDEPENDENCE EXCAVATING-CLEVELAND</t>
  </si>
  <si>
    <t>05156-01</t>
  </si>
  <si>
    <t>I-490 &amp; E. 55TH ST</t>
  </si>
  <si>
    <t>44127</t>
  </si>
  <si>
    <t>LEHIGH HANSON - WAGNER"JAB SUPPLY CORP-WICKLIFFE"</t>
  </si>
  <si>
    <t>4204A-96</t>
  </si>
  <si>
    <t>30155 EUCLID AVE</t>
  </si>
  <si>
    <t>WICKLIFFE</t>
  </si>
  <si>
    <t>44092</t>
  </si>
  <si>
    <t>4204B-01</t>
  </si>
  <si>
    <t>LEHIGH HANSON-SANDUSKY""JAB SUPPLY CORP-WICKLIFFE"</t>
  </si>
  <si>
    <t>4205A-96</t>
  </si>
  <si>
    <t>30155 EUCLID AVENUE</t>
  </si>
  <si>
    <t>4205B-96</t>
  </si>
  <si>
    <t>LEHIGH HANSON-SANDUSKY"JAB SUPPLY CORP-WICKLIFFE"</t>
  </si>
  <si>
    <t>4205C-96</t>
  </si>
  <si>
    <t>MAR-ZANE#1-ZANESVILLE</t>
  </si>
  <si>
    <t>4416A-01</t>
  </si>
  <si>
    <t>4330 SOUTH RIVER ROAD</t>
  </si>
  <si>
    <t>CLEVELAND, OH, 44125</t>
  </si>
  <si>
    <t>PAINESVILLE, OH, 44077</t>
  </si>
  <si>
    <t>RICHFIELD, OH, 44286</t>
  </si>
  <si>
    <t>VALLEY VIEW, OH, 44125</t>
  </si>
  <si>
    <t>HARRISVILLE, PA, 16088</t>
  </si>
  <si>
    <t>PORTERSVILLE, PA, 16051</t>
  </si>
  <si>
    <t>SLIPPERY ROCK, PA, 16057</t>
  </si>
  <si>
    <t>MASSILION, OH, 44646</t>
  </si>
  <si>
    <t>COPLEY, OH, 44321</t>
  </si>
  <si>
    <t>CLEVELAND, OH, 44113</t>
  </si>
  <si>
    <t>MEDINA, OH, 44256</t>
  </si>
  <si>
    <t>ALLIANCE, OH, 44601</t>
  </si>
  <si>
    <t>CLEVELAND, OH, 44135</t>
  </si>
  <si>
    <t>MASSILLON, OH, 44646</t>
  </si>
  <si>
    <t>MASSILLON, OH, 44647</t>
  </si>
  <si>
    <t>ELLWOOD CITY, PA, 16117</t>
  </si>
  <si>
    <t>WAMPUM, PA, 16157</t>
  </si>
  <si>
    <t>NEW CASTLE, PA, 16101</t>
  </si>
  <si>
    <t>BATAVIA, OH, 45103</t>
  </si>
  <si>
    <t>WOODVILLE, OH, 43469</t>
  </si>
  <si>
    <t>CLEVELAND, OH, 44110</t>
  </si>
  <si>
    <t>MANTUA, OH, 44255</t>
  </si>
  <si>
    <t>RAVENNA, OH, 44266</t>
  </si>
  <si>
    <t>SIDNEY, OH, 45365</t>
  </si>
  <si>
    <t>MIAMISBURG, OH, 45342</t>
  </si>
  <si>
    <t>FAIRBORN, OH, 45324</t>
  </si>
  <si>
    <t>LUDLOW FALLS, OH, 45339</t>
  </si>
  <si>
    <t>RICHMOND, IN, 47374</t>
  </si>
  <si>
    <t>LITTLE HOCKING, OH, 45742</t>
  </si>
  <si>
    <t>MARIETTA, OH, 45750</t>
  </si>
  <si>
    <t>NEW MARTINSVILLE, WV, 26155</t>
  </si>
  <si>
    <t>RAVENSWOOD, WV, 26164</t>
  </si>
  <si>
    <t>PARKERSBURG, WV, 26101</t>
  </si>
  <si>
    <t>CHARDON, OH, 44024</t>
  </si>
  <si>
    <t>YOUNGSTOWN, OH, 44502</t>
  </si>
  <si>
    <t>ALEXANDRIA, OH, 43001</t>
  </si>
  <si>
    <t>BRADFORD, OH, 45308</t>
  </si>
  <si>
    <t>PERRYSBURG, OH, 43551</t>
  </si>
  <si>
    <t>ASHTABULA, OH, 44004</t>
  </si>
  <si>
    <t>CINCINNATI, OH, 45226</t>
  </si>
  <si>
    <t>CONNEAUT, OH, 44030</t>
  </si>
  <si>
    <t>ERIE, PA, 16512</t>
  </si>
  <si>
    <t>GRAND RIVER, OH, 44045</t>
  </si>
  <si>
    <t>MAYSVILLE, KY, 41056</t>
  </si>
  <si>
    <t>BENWOOD, WV, 26031</t>
  </si>
  <si>
    <t>WEIRTON, WV, 26062</t>
  </si>
  <si>
    <t>SARDIS, OH, 43946</t>
  </si>
  <si>
    <t>CLARINGTON, OH, 43915</t>
  </si>
  <si>
    <t>MORRISTOWN, OH, 43759</t>
  </si>
  <si>
    <t>NEW MATAMORAS, OH, 45767</t>
  </si>
  <si>
    <t>CLEVELAND, OH, 44115</t>
  </si>
  <si>
    <t>NAVARRE, OH, 44662</t>
  </si>
  <si>
    <t>CANTON, OH, 44705</t>
  </si>
  <si>
    <t>LEWISVILLE, OH, 43754</t>
  </si>
  <si>
    <t>HERMITAGE, PA, 16148</t>
  </si>
  <si>
    <t>MILTON TOWNSHIP, OH, 44512</t>
  </si>
  <si>
    <t>NEWCOMERSTOWN, OH, 43832</t>
  </si>
  <si>
    <t>NORTH JACKSON, OH, 44451</t>
  </si>
  <si>
    <t>KENT, OH, 44240</t>
  </si>
  <si>
    <t>CUMBERLAND, OH, 43732</t>
  </si>
  <si>
    <t>MOGADORE, OH, 44260</t>
  </si>
  <si>
    <t>MERCER, PA, 16137</t>
  </si>
  <si>
    <t>HUNTSVILLE, OH, 43324</t>
  </si>
  <si>
    <t>GERMANTOWN, OH, 45327</t>
  </si>
  <si>
    <t>PETERSBURG, OH, 44454</t>
  </si>
  <si>
    <t>GUYSVILLE, OH, 45692</t>
  </si>
  <si>
    <t>WELLSTON, OH, 45692</t>
  </si>
  <si>
    <t>ENON, OH, 45502</t>
  </si>
  <si>
    <t>SANDUSKY, OH, 44870</t>
  </si>
  <si>
    <t>TWINSBURG, OH, 44087</t>
  </si>
  <si>
    <t>HILLSBORO, OH, 45133</t>
  </si>
  <si>
    <t>CINCINNATI, OH, 45244</t>
  </si>
  <si>
    <t>FREDERICKSBURG, OH, 44627</t>
  </si>
  <si>
    <t>GREENVILLE, OH, 45331</t>
  </si>
  <si>
    <t>DELTA, OH, 43515</t>
  </si>
  <si>
    <t>GENOA, OH, 43430</t>
  </si>
  <si>
    <t>SYLVANIA, OH, 43560</t>
  </si>
  <si>
    <t>BLUFFTON, OH, 45817</t>
  </si>
  <si>
    <t>CLINTON, MI, 49236</t>
  </si>
  <si>
    <t>CUSTAR, OH, 43511</t>
  </si>
  <si>
    <t>PIONEER, OH, 43554</t>
  </si>
  <si>
    <t>JONESVILLE, MI, 49250</t>
  </si>
  <si>
    <t>WALDRON, MI, 49228</t>
  </si>
  <si>
    <t>ADDISON, MI, 49220</t>
  </si>
  <si>
    <t>TECUMSEH, MI, 49286</t>
  </si>
  <si>
    <t>WEST MILLGROVE, OH, 43467</t>
  </si>
  <si>
    <t>STONY RIDGE, OH, 43463</t>
  </si>
  <si>
    <t>BETHESDA, OH, 43719</t>
  </si>
  <si>
    <t>WILLIAMSTOWN, WV, 26187</t>
  </si>
  <si>
    <t>CINCINNATI, OH, 45202</t>
  </si>
  <si>
    <t>CINCINNATI, OH, 46797</t>
  </si>
  <si>
    <t>MOUNDSVILLE, WV, 26041</t>
  </si>
  <si>
    <t>BUTLER, KY, 41006</t>
  </si>
  <si>
    <t>LOGAN, OH, 43138</t>
  </si>
  <si>
    <t>MILLERSBURG, OH, 44654</t>
  </si>
  <si>
    <t>HOLMESVILLE, OH, 44633</t>
  </si>
  <si>
    <t>CLEVELAND, OH, 44127</t>
  </si>
  <si>
    <t>CAMBRIDGE CITY, IN, 47327</t>
  </si>
  <si>
    <t>CONNERSVILLE, IN, 47331</t>
  </si>
  <si>
    <t>ANGOLA, IN, 46703</t>
  </si>
  <si>
    <t>WOLCOTTVILLE, IN, 46795</t>
  </si>
  <si>
    <t>BOLIVER, OH, 44612</t>
  </si>
  <si>
    <t>DOVER, OH, 44622</t>
  </si>
  <si>
    <t>CALDWELL, OH, 43724</t>
  </si>
  <si>
    <t>UPPER SANDUSKY, OH, 43351</t>
  </si>
  <si>
    <t>BELPRE, OH, 45714</t>
  </si>
  <si>
    <t>WEST MIFFLIN, PA, 15122</t>
  </si>
  <si>
    <t>LORAIN, OH, 44052</t>
  </si>
  <si>
    <t>MARBLEHEAD, OH, 43440</t>
  </si>
  <si>
    <t>PAULDING, OH, 45879</t>
  </si>
  <si>
    <t>LATHAM, OH, 45646</t>
  </si>
  <si>
    <t>ALBANY, OH, 45710</t>
  </si>
  <si>
    <t>OAK HILL, OH, 45656</t>
  </si>
  <si>
    <t>CONNELSVILLE, PA, 15468</t>
  </si>
  <si>
    <t>WICKLIFFE, OH, 44092</t>
  </si>
  <si>
    <t>BESSEMER, PA, 16112</t>
  </si>
  <si>
    <t>BLOOMVILLE, OH, 44818</t>
  </si>
  <si>
    <t>CLEVES, OH, 45002</t>
  </si>
  <si>
    <t>GRAYSON, KY, 41143</t>
  </si>
  <si>
    <t>PEEBLES, OH, 45660</t>
  </si>
  <si>
    <t>CASTALIA, OH, 44824</t>
  </si>
  <si>
    <t>CANTON, OH, 44707</t>
  </si>
  <si>
    <t>MARTINS FERRY, OH, 43935</t>
  </si>
  <si>
    <t>LODI, OH, 44254</t>
  </si>
  <si>
    <t>AKRON, OH, 44305</t>
  </si>
  <si>
    <t>PIKETON, OH, 45661</t>
  </si>
  <si>
    <t>TRIDELPHIA, WV, 26059</t>
  </si>
  <si>
    <t>VERSAILLES, IN, 47042</t>
  </si>
  <si>
    <t>Twinsburg, OH, 44087</t>
  </si>
  <si>
    <t>WATERVILLE, OH, 43566</t>
  </si>
  <si>
    <t>WINCHESTER, OH, 45697</t>
  </si>
  <si>
    <t>WOODBURN, IN, 46797</t>
  </si>
  <si>
    <t>GALLIPOLIS FERRY, WV, 25515</t>
  </si>
  <si>
    <t>NORTH BEND, OH, 45052</t>
  </si>
  <si>
    <t>RACINE, OH, 45771</t>
  </si>
  <si>
    <t>PETROLEUM, WV, 26161</t>
  </si>
  <si>
    <t>CEDARVILLE, OH, 45314</t>
  </si>
  <si>
    <t>SPRING VALLEY, OH, 45370</t>
  </si>
  <si>
    <t>MEDWAY, OH, 45341</t>
  </si>
  <si>
    <t>FAIRFIELD, OH, 45014</t>
  </si>
  <si>
    <t>FRANKLIN, OH, 45005</t>
  </si>
  <si>
    <t>HAMILTON, OH, 45011</t>
  </si>
  <si>
    <t>PETERSBURG, KY, 41080</t>
  </si>
  <si>
    <t>BROOKVILLE, OH, 45309</t>
  </si>
  <si>
    <t>ROSS, OH, 45014</t>
  </si>
  <si>
    <t>TRENTON, OH, 45067</t>
  </si>
  <si>
    <t>TROY, OH, 45373</t>
  </si>
  <si>
    <t>XENIA, OH, 45385</t>
  </si>
  <si>
    <t>PERRYSVILLE, OH, 44864</t>
  </si>
  <si>
    <t>ZANESVILLE, OH, 43701</t>
  </si>
  <si>
    <t>HAYDENVILLE, OH, 43127</t>
  </si>
  <si>
    <t>LANCASTER, OH, 43130</t>
  </si>
  <si>
    <t>CHILLICOTHE, OH, 45601</t>
  </si>
  <si>
    <t>DERWENT, OH, 43733</t>
  </si>
  <si>
    <t>AKRON, OH, 44319</t>
  </si>
  <si>
    <t>MOUNT PERRY, OH, 43760</t>
  </si>
  <si>
    <t>WEST SPRINGFIELD, PA, 16443</t>
  </si>
  <si>
    <t>NELSONVILLE, OH, 45764</t>
  </si>
  <si>
    <t>MECHANICSBURG, OH, 43044</t>
  </si>
  <si>
    <t>SABINA, OH, 45169</t>
  </si>
  <si>
    <t>CIRCLEVILLE, OH, 43113</t>
  </si>
  <si>
    <t>WILMINGTON, OH, 45177</t>
  </si>
  <si>
    <t>HARRISON, OH, 45030</t>
  </si>
  <si>
    <t>MIDDLETOWN, OH, 45044</t>
  </si>
  <si>
    <t>WASHINGTON COURT HOUSE, OH, 43160</t>
  </si>
  <si>
    <t>NEW HOLLAND, OH, 43145</t>
  </si>
  <si>
    <t>TIFFIN, OH, 44883</t>
  </si>
  <si>
    <t>MORROW, OH, 45152</t>
  </si>
  <si>
    <t>OLIVE HILL, KY, 41164</t>
  </si>
  <si>
    <t>CINCINNATI, OH, 45203</t>
  </si>
  <si>
    <t>GALLIPOLIS, OH, 45669</t>
  </si>
  <si>
    <t>ST. MARY'S, WV, 26170</t>
  </si>
  <si>
    <t>BELLAIRE, OH, 43906</t>
  </si>
  <si>
    <t>LOCKBOURNE, OH, 43137</t>
  </si>
  <si>
    <t>WAPAKONETA, OH, 45819</t>
  </si>
  <si>
    <t>BUCYRUS, OH, 44820</t>
  </si>
  <si>
    <t>CAMBRIDGE, OH, 43725</t>
  </si>
  <si>
    <t>COSHOCTON, OH, 43812</t>
  </si>
  <si>
    <t>CUYAHOGA HEIGHTS, OH, 44105</t>
  </si>
  <si>
    <t>WOOSTER, OH, 44691</t>
  </si>
  <si>
    <t>CAREY, OH, 43316</t>
  </si>
  <si>
    <t>CADIZ, OH, 43907</t>
  </si>
  <si>
    <t>NEW PHILADELPHIA, OH, 44663</t>
  </si>
  <si>
    <t>AKRON, OH, 44309</t>
  </si>
  <si>
    <t>ERIE, PA, 16505</t>
  </si>
  <si>
    <t>CHESTERVILLE, OH, 43317</t>
  </si>
  <si>
    <t>DELAWARE, OH, 43015</t>
  </si>
  <si>
    <t>DELPHOS, OH, 45833</t>
  </si>
  <si>
    <t>FINDLAY, OH, 45839</t>
  </si>
  <si>
    <t>AKRON, OH, 44301</t>
  </si>
  <si>
    <t>LIMA, OH, 45802</t>
  </si>
  <si>
    <t>MARION, OH, 43302</t>
  </si>
  <si>
    <t>OTTAWA, OH, 45875</t>
  </si>
  <si>
    <t>RIMER, OH, 45830</t>
  </si>
  <si>
    <t>BELLEFONTAINE, OH, 43311</t>
  </si>
  <si>
    <t>KINGSVILLE, OH, 44048</t>
  </si>
  <si>
    <t>MINERAL RIDGE, OH, 44440</t>
  </si>
  <si>
    <t>LEBANON, OH, 45036</t>
  </si>
  <si>
    <t>COLUMBUS, OH, 43207</t>
  </si>
  <si>
    <t>FREDERICKTOWN, OH, 43019</t>
  </si>
  <si>
    <t>ST. LOUISVILLE, OH, 43071</t>
  </si>
  <si>
    <t>TOLEDO, OH, 43605</t>
  </si>
  <si>
    <t>GALLIPOLIS, OH, 45631</t>
  </si>
  <si>
    <t>BOLIVAR, OH, 44612</t>
  </si>
  <si>
    <t>VANDALIA, OH, 45377</t>
  </si>
  <si>
    <t>MAGNOLIA, OH, 44643</t>
  </si>
  <si>
    <t>MINGO JUNCTION, OH, 43938</t>
  </si>
  <si>
    <t>PIQUA, OH, 45356</t>
  </si>
  <si>
    <t>AKRON, OH, 44310</t>
  </si>
  <si>
    <t>FREMONT, OH, 43420</t>
  </si>
  <si>
    <t>PORTAGE, OH, 43451</t>
  </si>
  <si>
    <t>THOMPSON, OH, 44086</t>
  </si>
  <si>
    <t>MARSHALLVILLE, OH, 44645</t>
  </si>
  <si>
    <t>KINGSVILLE, OH, 44068</t>
  </si>
  <si>
    <t>CORNING, OH, 43730</t>
  </si>
  <si>
    <t>BELLE CENTER, OH, 43310</t>
  </si>
  <si>
    <t>GROVE CITY, OH, 43123</t>
  </si>
  <si>
    <t>DRESDEN, OH, 43821</t>
  </si>
  <si>
    <t>EAST FULTONHAM, OH, 43735</t>
  </si>
  <si>
    <t>FOREST, OH, 45843</t>
  </si>
  <si>
    <t>HILLIARD, OH, 43026</t>
  </si>
  <si>
    <t>OSTRANDER, OH, 43061</t>
  </si>
  <si>
    <t>PORTLAND, OH, 45770</t>
  </si>
  <si>
    <t>REEDSVILLE, OH, 45772</t>
  </si>
  <si>
    <t>CORAOPOLIS, PA, 15108</t>
  </si>
  <si>
    <t>MARIETTA, OH, 45770</t>
  </si>
  <si>
    <t xml:space="preserve">MARIETTA, OH, </t>
  </si>
  <si>
    <t>SPRINGFIELD, OH, 45502</t>
  </si>
  <si>
    <t>ST. LOUISVILLE, OH, 43055</t>
  </si>
  <si>
    <t>STREETSBORO, OH, 44241</t>
  </si>
  <si>
    <t>WEST MANSFIELD, OH, 43358</t>
  </si>
  <si>
    <t>ST. CLAIRSVILLE, OH, 43950</t>
  </si>
  <si>
    <t>NORTH KINGSVILLE, OH, 44068</t>
  </si>
  <si>
    <t>VOLANT, PA, 16156</t>
  </si>
  <si>
    <t>GAMBIER, OH, 43022</t>
  </si>
  <si>
    <t>ROOTSTOWN, OH, 44272</t>
  </si>
  <si>
    <t>BEACH CITY, OH, 44608</t>
  </si>
  <si>
    <t>SALEM, OH, 44460</t>
  </si>
  <si>
    <t>BUTLER, IN, 46721</t>
  </si>
  <si>
    <t>GENOA, OH, 43560</t>
  </si>
  <si>
    <t>GNADENHUTTEN, OH, 44629</t>
  </si>
  <si>
    <t>BYESVILLE, OH, 43723</t>
  </si>
  <si>
    <t>HOAGLAND, IN, 46745</t>
  </si>
  <si>
    <t>GARRETT, IN, 46738</t>
  </si>
  <si>
    <t>ANN ARBOR, MI, 48103</t>
  </si>
  <si>
    <t>HORTON, MI, 49246</t>
  </si>
  <si>
    <t>OTTAWA LAKE, MI, 49267</t>
  </si>
  <si>
    <t>ANN ARBOR, MI, 48130</t>
  </si>
  <si>
    <t>OAKWOOD, OH, 45873</t>
  </si>
  <si>
    <t>CELINA, OH, 45822</t>
  </si>
  <si>
    <t>CLAY CENTER, OH, 43408</t>
  </si>
  <si>
    <t>MAUMEE, OH, 43537</t>
  </si>
  <si>
    <t>CONVOY, OH, 45832</t>
  </si>
  <si>
    <t>MOGADORE, OH, 44620</t>
  </si>
  <si>
    <t>WAMPUM, PA, 16137</t>
  </si>
  <si>
    <t>LUCASVILLE, OH, 45648</t>
  </si>
  <si>
    <t>FRANKFORT, OH, 45628</t>
  </si>
  <si>
    <t>PLAIN CITY, OH, 43064</t>
  </si>
  <si>
    <t>DECATUR, IN, 46733</t>
  </si>
  <si>
    <t>PORTLAND, IN, 47371</t>
  </si>
  <si>
    <t>RIDGEVILLE, IN, 47380</t>
  </si>
  <si>
    <t>DANVILLE, OH, 43104</t>
  </si>
  <si>
    <t>MT. VERNON, OH, 43050</t>
  </si>
  <si>
    <t>URBANA, OH, 43078</t>
  </si>
  <si>
    <t>CINCINNATI, OH, 45241</t>
  </si>
  <si>
    <t>HAMILTON, OH, 45013</t>
  </si>
  <si>
    <t>ST. MARYS, OH, 45885</t>
  </si>
  <si>
    <t>EDGERTON, OH, 43517</t>
  </si>
  <si>
    <t>Lordstown, OH, 44481</t>
  </si>
  <si>
    <t>YOUNGSTOWN, OH, 44514</t>
  </si>
  <si>
    <t>CAMDEN, OH, 45311</t>
  </si>
  <si>
    <t>WEST ALEXANDRIA, OH, 45381</t>
  </si>
  <si>
    <t>NEGLEY, OH, 44441</t>
  </si>
  <si>
    <t>LOUDONVILLE, OH, 44842</t>
  </si>
  <si>
    <t>PS Code</t>
  </si>
  <si>
    <t>City, State, Zip</t>
  </si>
  <si>
    <r>
      <rPr>
        <b/>
        <sz val="16"/>
        <color rgb="FFFF0000"/>
        <rFont val="Arial"/>
        <family val="2"/>
      </rPr>
      <t>To determine if a PLANT is on the APPROVED P/S list, The below information will assist in the search.</t>
    </r>
    <r>
      <rPr>
        <b/>
        <sz val="10"/>
        <color rgb="FFFF0000"/>
        <rFont val="Arial"/>
        <family val="2"/>
      </rPr>
      <t xml:space="preserve">
</t>
    </r>
    <r>
      <rPr>
        <b/>
        <u/>
        <sz val="10"/>
        <color rgb="FFFF0000"/>
        <rFont val="Arial"/>
        <family val="2"/>
      </rPr>
      <t>FIRST</t>
    </r>
    <r>
      <rPr>
        <b/>
        <sz val="10"/>
        <color rgb="FFFF0000"/>
        <rFont val="Arial"/>
        <family val="2"/>
      </rPr>
      <t xml:space="preserve"> -  Select a State or District (Click on the State/District where the PLANT is located.
</t>
    </r>
    <r>
      <rPr>
        <b/>
        <u/>
        <sz val="10"/>
        <color rgb="FFFF0000"/>
        <rFont val="Arial"/>
        <family val="2"/>
      </rPr>
      <t>SECOND</t>
    </r>
    <r>
      <rPr>
        <b/>
        <sz val="10"/>
        <color rgb="FFFF0000"/>
        <rFont val="Arial"/>
        <family val="2"/>
      </rPr>
      <t xml:space="preserve"> - Select the County the Plant is in.
</t>
    </r>
    <r>
      <rPr>
        <b/>
        <u/>
        <sz val="10"/>
        <color rgb="FFFF0000"/>
        <rFont val="Arial"/>
        <family val="2"/>
      </rPr>
      <t>THIRD</t>
    </r>
    <r>
      <rPr>
        <b/>
        <sz val="10"/>
        <color rgb="FFFF0000"/>
        <rFont val="Arial"/>
        <family val="2"/>
      </rPr>
      <t xml:space="preserve"> - Locate the Plant the Producer / Supplier Name.
(To reset a field, click on the red "x" at the top right of each box)
</t>
    </r>
    <r>
      <rPr>
        <b/>
        <u/>
        <sz val="16"/>
        <color rgb="FFFF0000"/>
        <rFont val="Arial"/>
        <family val="2"/>
      </rPr>
      <t>CONFIRM THE ADDRESS</t>
    </r>
    <r>
      <rPr>
        <b/>
        <sz val="14"/>
        <color rgb="FFFF0000"/>
        <rFont val="Arial"/>
        <family val="2"/>
      </rPr>
      <t xml:space="preserve"> - Aggregate Suppliers may have multiple locations.</t>
    </r>
  </si>
  <si>
    <t xml:space="preserve">YOU MUST SUBMIT A COMPLETE EXCEL PRICING PAGE FOR EACH PLANT LOCATION.  </t>
  </si>
  <si>
    <r>
      <t xml:space="preserve">    ……..AND DO </t>
    </r>
    <r>
      <rPr>
        <b/>
        <sz val="12"/>
        <color indexed="10"/>
        <rFont val="Arial"/>
        <family val="2"/>
      </rPr>
      <t>NOT</t>
    </r>
    <r>
      <rPr>
        <sz val="12"/>
        <color indexed="10"/>
        <rFont val="Arial"/>
        <family val="2"/>
      </rPr>
      <t xml:space="preserve"> </t>
    </r>
    <r>
      <rPr>
        <sz val="12"/>
        <rFont val="Arial"/>
        <family val="2"/>
      </rPr>
      <t>DELETE/REMOVE PAGES OR ROWS/COLUMNS FROM THIS BID SHEET.</t>
    </r>
  </si>
  <si>
    <t>800-22 Aggregate  1/28/21</t>
  </si>
  <si>
    <t xml:space="preserve">TOM NOLAN </t>
  </si>
  <si>
    <t>216-696-1220</t>
  </si>
  <si>
    <t>N/A</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</si>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</sst>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5" x14ac:knownFonts="1">
    <font>
      <sz val="10"/>
      <name val="Arial"/>
    </font>
    <font>
      <sz val="8"/>
      <name val="Arial"/>
      <family val="2"/>
    </font>
    <font>
      <b/>
      <sz val="10"/>
      <name val="Arial"/>
      <family val="2"/>
    </font>
    <font>
      <b/>
      <sz val="10"/>
      <color indexed="8"/>
      <name val="Arial"/>
      <family val="2"/>
    </font>
    <font>
      <sz val="10"/>
      <color indexed="8"/>
      <name val="Arial"/>
      <family val="2"/>
    </font>
    <font>
      <sz val="10"/>
      <name val="Arial"/>
      <family val="2"/>
    </font>
    <font>
      <sz val="12"/>
      <name val="Arial"/>
      <family val="2"/>
    </font>
    <font>
      <u/>
      <sz val="10"/>
      <name val="Arial"/>
      <family val="2"/>
    </font>
    <font>
      <b/>
      <u/>
      <sz val="10"/>
      <name val="Arial"/>
      <family val="2"/>
    </font>
    <font>
      <b/>
      <i/>
      <u/>
      <sz val="10"/>
      <name val="Arial"/>
      <family val="2"/>
    </font>
    <font>
      <b/>
      <sz val="10"/>
      <name val="Verdana"/>
      <family val="2"/>
    </font>
    <font>
      <sz val="10"/>
      <color indexed="8"/>
      <name val="Verdana"/>
      <family val="2"/>
    </font>
    <font>
      <sz val="10"/>
      <color indexed="8"/>
      <name val="Arial"/>
      <family val="2"/>
    </font>
    <font>
      <sz val="10"/>
      <name val="Verdana"/>
      <family val="2"/>
    </font>
    <font>
      <sz val="9"/>
      <name val="Verdana"/>
      <family val="2"/>
    </font>
    <font>
      <sz val="10"/>
      <color indexed="9"/>
      <name val="Arial"/>
      <family val="2"/>
    </font>
    <font>
      <sz val="8"/>
      <name val="Verdana"/>
      <family val="2"/>
    </font>
    <font>
      <b/>
      <sz val="8"/>
      <name val="Verdana"/>
      <family val="2"/>
    </font>
    <font>
      <sz val="8"/>
      <color indexed="8"/>
      <name val="Verdana"/>
      <family val="2"/>
    </font>
    <font>
      <sz val="8"/>
      <name val="Arial"/>
      <family val="2"/>
    </font>
    <font>
      <b/>
      <sz val="12"/>
      <name val="Arial"/>
      <family val="2"/>
    </font>
    <font>
      <sz val="9"/>
      <name val="Calibri"/>
      <family val="2"/>
      <scheme val="minor"/>
    </font>
    <font>
      <b/>
      <sz val="11"/>
      <color rgb="FFFF0000"/>
      <name val="Verdana"/>
      <family val="2"/>
    </font>
    <font>
      <b/>
      <sz val="10"/>
      <color rgb="FFFF0000"/>
      <name val="Arial"/>
      <family val="2"/>
    </font>
    <font>
      <b/>
      <sz val="12"/>
      <color rgb="FFFF0000"/>
      <name val="Arial"/>
      <family val="2"/>
    </font>
    <font>
      <b/>
      <sz val="18"/>
      <color rgb="FFFF0000"/>
      <name val="Arial"/>
      <family val="2"/>
    </font>
    <font>
      <sz val="36"/>
      <name val="Arial"/>
      <family val="2"/>
    </font>
    <font>
      <sz val="11"/>
      <color rgb="FF000000"/>
      <name val="Calibri"/>
      <family val="2"/>
    </font>
    <font>
      <b/>
      <sz val="11"/>
      <color rgb="FF000000"/>
      <name val="Calibri"/>
      <family val="2"/>
    </font>
    <font>
      <b/>
      <sz val="28"/>
      <name val="Arial"/>
      <family val="2"/>
    </font>
    <font>
      <b/>
      <u/>
      <sz val="10"/>
      <color rgb="FFFF0000"/>
      <name val="Arial"/>
      <family val="2"/>
    </font>
    <font>
      <b/>
      <sz val="14"/>
      <color rgb="FFFF0000"/>
      <name val="Arial"/>
      <family val="2"/>
    </font>
    <font>
      <b/>
      <sz val="16"/>
      <color rgb="FFFF0000"/>
      <name val="Arial"/>
      <family val="2"/>
    </font>
    <font>
      <sz val="12"/>
      <color indexed="9"/>
      <name val="Arial"/>
      <family val="2"/>
    </font>
    <font>
      <b/>
      <u/>
      <sz val="16"/>
      <color rgb="FFFF0000"/>
      <name val="Arial"/>
      <family val="2"/>
    </font>
    <font>
      <b/>
      <sz val="9"/>
      <name val="Verdana"/>
      <family val="2"/>
    </font>
    <font>
      <b/>
      <sz val="12"/>
      <color indexed="10"/>
      <name val="Arial"/>
      <family val="2"/>
    </font>
    <font>
      <sz val="12"/>
      <color indexed="10"/>
      <name val="Arial"/>
      <family val="2"/>
    </font>
    <font>
      <sz val="24"/>
      <color indexed="9"/>
      <name val="Arial"/>
      <family val="2"/>
    </font>
    <font>
      <sz val="10"/>
      <color theme="1"/>
      <name val="Arial"/>
      <family val="2"/>
    </font>
    <font>
      <b/>
      <sz val="16"/>
      <name val="Arial"/>
      <family val="2"/>
    </font>
    <font>
      <b/>
      <sz val="24"/>
      <name val="Arial"/>
      <family val="2"/>
    </font>
    <font>
      <sz val="10"/>
      <color rgb="FF000000"/>
      <name val="Arial"/>
      <family val="2"/>
    </font>
    <font>
      <vertAlign val="superscript"/>
      <sz val="10"/>
      <color rgb="FF000000"/>
      <name val="Arial"/>
      <family val="2"/>
    </font>
    <font>
      <sz val="10"/>
      <color rgb="FFFF0000"/>
      <name val="Arial"/>
      <family val="2"/>
    </font>
  </fonts>
  <fills count="15">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indexed="31"/>
        <bgColor indexed="64"/>
      </patternFill>
    </fill>
    <fill>
      <patternFill patternType="solid">
        <fgColor theme="4"/>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00"/>
        <bgColor rgb="FFC0C0C0"/>
      </patternFill>
    </fill>
    <fill>
      <patternFill patternType="solid">
        <fgColor rgb="FF92D05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B050"/>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D0D7E5"/>
      </left>
      <right style="thin">
        <color rgb="FFD0D7E5"/>
      </right>
      <top style="thin">
        <color rgb="FFD0D7E5"/>
      </top>
      <bottom style="thin">
        <color rgb="FFD0D7E5"/>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indexed="64"/>
      </right>
      <top/>
      <bottom/>
      <diagonal/>
    </border>
    <border diagonalUp="1" diagonalDown="1">
      <left style="thin">
        <color auto="1"/>
      </left>
      <right style="thin">
        <color auto="1"/>
      </right>
      <top style="thin">
        <color auto="1"/>
      </top>
      <bottom style="thin">
        <color auto="1"/>
      </bottom>
      <diagonal style="thin">
        <color auto="1"/>
      </diagonal>
    </border>
  </borders>
  <cellStyleXfs count="3">
    <xf numFmtId="0" fontId="0" fillId="0" borderId="0"/>
    <xf numFmtId="0" fontId="12" fillId="0" borderId="0"/>
    <xf numFmtId="0" fontId="4" fillId="0" borderId="0"/>
  </cellStyleXfs>
  <cellXfs count="241">
    <xf numFmtId="0" fontId="0" fillId="0" borderId="0" xfId="0"/>
    <xf numFmtId="0" fontId="0" fillId="0" borderId="0" xfId="0" applyAlignment="1">
      <alignment horizontal="left" wrapText="1"/>
    </xf>
    <xf numFmtId="0" fontId="2" fillId="0" borderId="2" xfId="0" applyFont="1" applyBorder="1" applyAlignment="1">
      <alignment horizontal="left" wrapText="1"/>
    </xf>
    <xf numFmtId="0" fontId="2" fillId="0" borderId="0" xfId="0" applyFont="1" applyBorder="1" applyAlignment="1"/>
    <xf numFmtId="0" fontId="0" fillId="0" borderId="0" xfId="0" applyAlignment="1"/>
    <xf numFmtId="0" fontId="0" fillId="0" borderId="0" xfId="0" applyBorder="1"/>
    <xf numFmtId="0" fontId="2" fillId="0" borderId="0" xfId="0" applyFont="1" applyBorder="1"/>
    <xf numFmtId="0" fontId="0" fillId="0" borderId="0" xfId="0" applyBorder="1" applyAlignment="1">
      <alignment horizontal="left"/>
    </xf>
    <xf numFmtId="0" fontId="0" fillId="0" borderId="0" xfId="0" applyBorder="1" applyAlignment="1"/>
    <xf numFmtId="0" fontId="0" fillId="0" borderId="0" xfId="0" applyBorder="1" applyAlignment="1">
      <alignment horizontal="left" vertical="top"/>
    </xf>
    <xf numFmtId="0" fontId="2" fillId="0" borderId="0" xfId="0" applyFont="1" applyBorder="1" applyAlignment="1">
      <alignment horizontal="left" vertical="top"/>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right"/>
    </xf>
    <xf numFmtId="0" fontId="2" fillId="0" borderId="2" xfId="0" applyFont="1" applyBorder="1" applyAlignment="1" applyProtection="1">
      <alignment horizontal="right"/>
    </xf>
    <xf numFmtId="0" fontId="0" fillId="0" borderId="0" xfId="0" applyAlignment="1">
      <alignment horizontal="center"/>
    </xf>
    <xf numFmtId="0" fontId="5" fillId="0" borderId="0" xfId="0" applyFont="1"/>
    <xf numFmtId="0" fontId="2" fillId="0" borderId="2" xfId="0" applyFont="1" applyBorder="1" applyAlignment="1" applyProtection="1">
      <alignment horizontal="right" vertical="center" wrapText="1"/>
    </xf>
    <xf numFmtId="0" fontId="6" fillId="0" borderId="0" xfId="0" applyFont="1"/>
    <xf numFmtId="0" fontId="5" fillId="0" borderId="2" xfId="0" applyFont="1" applyBorder="1" applyAlignment="1">
      <alignment horizontal="center"/>
    </xf>
    <xf numFmtId="0" fontId="5" fillId="0" borderId="2" xfId="0" applyFont="1" applyBorder="1" applyAlignment="1">
      <alignment wrapText="1"/>
    </xf>
    <xf numFmtId="0" fontId="4" fillId="0" borderId="2" xfId="0" applyFont="1" applyBorder="1" applyAlignment="1">
      <alignment horizontal="center"/>
    </xf>
    <xf numFmtId="164" fontId="5" fillId="0" borderId="2" xfId="0" applyNumberFormat="1" applyFont="1" applyBorder="1" applyAlignment="1" applyProtection="1">
      <alignment vertical="top"/>
      <protection locked="0"/>
    </xf>
    <xf numFmtId="0" fontId="5" fillId="2" borderId="0" xfId="0" applyFont="1" applyFill="1" applyAlignment="1">
      <alignment horizontal="justify"/>
    </xf>
    <xf numFmtId="0" fontId="5" fillId="2" borderId="0" xfId="0" applyFont="1" applyFill="1"/>
    <xf numFmtId="0" fontId="5" fillId="2" borderId="4" xfId="0" applyFont="1" applyFill="1" applyBorder="1" applyAlignment="1">
      <alignment horizontal="justify"/>
    </xf>
    <xf numFmtId="0" fontId="5" fillId="0" borderId="2" xfId="0" applyFont="1" applyBorder="1" applyAlignment="1">
      <alignment horizontal="right"/>
    </xf>
    <xf numFmtId="0" fontId="2" fillId="0" borderId="2" xfId="0" applyFont="1" applyBorder="1" applyAlignment="1">
      <alignment horizontal="right"/>
    </xf>
    <xf numFmtId="0" fontId="5" fillId="2" borderId="4" xfId="0" applyFont="1" applyFill="1" applyBorder="1" applyAlignment="1">
      <alignment horizontal="right"/>
    </xf>
    <xf numFmtId="0" fontId="0" fillId="2" borderId="4" xfId="0" applyFill="1" applyBorder="1" applyAlignment="1">
      <alignment horizontal="center"/>
    </xf>
    <xf numFmtId="0" fontId="5" fillId="2" borderId="4" xfId="0" applyFont="1" applyFill="1" applyBorder="1" applyAlignment="1">
      <alignment horizontal="center"/>
    </xf>
    <xf numFmtId="0" fontId="2" fillId="0" borderId="2" xfId="0" applyFont="1" applyBorder="1" applyAlignment="1">
      <alignment horizontal="right" vertical="center" wrapText="1"/>
    </xf>
    <xf numFmtId="0" fontId="2" fillId="0" borderId="2" xfId="0" applyFont="1" applyBorder="1"/>
    <xf numFmtId="0" fontId="2" fillId="0" borderId="5" xfId="0" applyFont="1" applyBorder="1"/>
    <xf numFmtId="0" fontId="5" fillId="0" borderId="2" xfId="0" applyFont="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164" fontId="2" fillId="0" borderId="2" xfId="0" applyNumberFormat="1" applyFont="1" applyBorder="1" applyAlignment="1" applyProtection="1">
      <alignment horizontal="center"/>
    </xf>
    <xf numFmtId="0" fontId="2" fillId="0" borderId="2" xfId="0" applyFont="1" applyBorder="1" applyAlignment="1" applyProtection="1">
      <alignment horizontal="center"/>
    </xf>
    <xf numFmtId="0" fontId="2" fillId="2" borderId="4" xfId="0" applyFont="1" applyFill="1" applyBorder="1" applyAlignment="1" applyProtection="1">
      <alignment horizontal="center"/>
    </xf>
    <xf numFmtId="0" fontId="2" fillId="2" borderId="4" xfId="0" applyFont="1" applyFill="1" applyBorder="1" applyAlignment="1">
      <alignment horizontal="center"/>
    </xf>
    <xf numFmtId="164" fontId="2" fillId="0" borderId="2" xfId="0" applyNumberFormat="1" applyFont="1" applyBorder="1" applyAlignment="1" applyProtection="1">
      <alignment vertical="center" wrapText="1"/>
      <protection locked="0"/>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Fill="1" applyBorder="1" applyAlignment="1">
      <alignment horizontal="right"/>
    </xf>
    <xf numFmtId="0" fontId="10" fillId="0" borderId="0" xfId="0" applyFont="1"/>
    <xf numFmtId="0" fontId="11" fillId="0" borderId="0" xfId="1" applyFont="1" applyFill="1" applyBorder="1" applyAlignment="1">
      <alignment wrapText="1"/>
    </xf>
    <xf numFmtId="0" fontId="2" fillId="0" borderId="6" xfId="0" applyFont="1" applyBorder="1" applyAlignment="1">
      <alignment horizontal="center" vertical="center"/>
    </xf>
    <xf numFmtId="164" fontId="0" fillId="0" borderId="2" xfId="0" applyNumberFormat="1" applyBorder="1" applyAlignment="1" applyProtection="1">
      <alignment horizontal="right" vertical="center" wrapText="1"/>
      <protection locked="0"/>
    </xf>
    <xf numFmtId="164" fontId="0" fillId="0" borderId="2" xfId="0" applyNumberFormat="1" applyBorder="1" applyAlignment="1" applyProtection="1">
      <alignment horizontal="right" vertical="center"/>
      <protection locked="0"/>
    </xf>
    <xf numFmtId="0" fontId="0" fillId="3" borderId="3" xfId="0" applyFill="1" applyBorder="1" applyAlignment="1">
      <alignment horizontal="center"/>
    </xf>
    <xf numFmtId="0" fontId="13" fillId="0" borderId="0" xfId="0" applyFont="1"/>
    <xf numFmtId="0" fontId="15" fillId="0" borderId="0" xfId="0" applyFont="1"/>
    <xf numFmtId="0" fontId="16" fillId="0" borderId="0" xfId="0" applyFont="1"/>
    <xf numFmtId="0" fontId="17" fillId="0" borderId="0" xfId="0" applyFont="1"/>
    <xf numFmtId="0" fontId="0" fillId="0" borderId="0" xfId="0" applyAlignment="1">
      <alignment wrapText="1"/>
    </xf>
    <xf numFmtId="0" fontId="16" fillId="0" borderId="0" xfId="0" applyFont="1" applyAlignment="1">
      <alignment wrapText="1"/>
    </xf>
    <xf numFmtId="0" fontId="16" fillId="5" borderId="0" xfId="0" applyFont="1" applyFill="1"/>
    <xf numFmtId="0" fontId="16" fillId="5" borderId="0" xfId="0" applyFont="1" applyFill="1" applyAlignment="1">
      <alignment wrapText="1"/>
    </xf>
    <xf numFmtId="0" fontId="19" fillId="0" borderId="0" xfId="0" applyFont="1"/>
    <xf numFmtId="0" fontId="18" fillId="0" borderId="1" xfId="2" applyFont="1" applyFill="1" applyBorder="1" applyAlignment="1">
      <alignment wrapText="1"/>
    </xf>
    <xf numFmtId="0" fontId="21" fillId="0" borderId="0" xfId="0" applyFont="1"/>
    <xf numFmtId="164" fontId="5" fillId="0" borderId="2" xfId="0" applyNumberFormat="1" applyFont="1" applyFill="1" applyBorder="1" applyAlignment="1" applyProtection="1">
      <alignment vertical="top"/>
      <protection locked="0"/>
    </xf>
    <xf numFmtId="0" fontId="5" fillId="0" borderId="2" xfId="0" applyFont="1" applyBorder="1"/>
    <xf numFmtId="0" fontId="5" fillId="0" borderId="2" xfId="0" applyFont="1" applyFill="1" applyBorder="1"/>
    <xf numFmtId="0" fontId="5" fillId="0" borderId="2" xfId="0" applyFont="1" applyFill="1" applyBorder="1" applyAlignment="1">
      <alignment horizontal="center"/>
    </xf>
    <xf numFmtId="0" fontId="5" fillId="0" borderId="2" xfId="0" applyFont="1" applyFill="1" applyBorder="1" applyAlignment="1">
      <alignment wrapText="1"/>
    </xf>
    <xf numFmtId="0" fontId="2" fillId="0" borderId="0" xfId="0" applyFont="1"/>
    <xf numFmtId="164" fontId="0" fillId="0" borderId="0" xfId="0" applyNumberFormat="1"/>
    <xf numFmtId="0" fontId="0" fillId="0" borderId="3" xfId="0" applyFill="1" applyBorder="1" applyAlignment="1">
      <alignment horizontal="center" vertical="center" wrapText="1"/>
    </xf>
    <xf numFmtId="0" fontId="2" fillId="0" borderId="3" xfId="0" applyFont="1" applyFill="1" applyBorder="1" applyAlignment="1">
      <alignment horizontal="center" vertical="center"/>
    </xf>
    <xf numFmtId="0" fontId="0" fillId="0" borderId="9" xfId="0" applyFill="1" applyBorder="1" applyAlignment="1">
      <alignment horizontal="center" vertical="center" wrapText="1"/>
    </xf>
    <xf numFmtId="0" fontId="2" fillId="0" borderId="9" xfId="0" applyFont="1" applyFill="1" applyBorder="1" applyAlignment="1">
      <alignment horizontal="center" vertical="center"/>
    </xf>
    <xf numFmtId="0" fontId="5" fillId="6" borderId="0" xfId="0" applyFont="1" applyFill="1"/>
    <xf numFmtId="0" fontId="5" fillId="0" borderId="0" xfId="0" applyFont="1" applyAlignment="1">
      <alignment horizontal="center"/>
    </xf>
    <xf numFmtId="164" fontId="5" fillId="0" borderId="0" xfId="0" applyNumberFormat="1" applyFont="1" applyAlignment="1">
      <alignment horizontal="center"/>
    </xf>
    <xf numFmtId="0" fontId="26" fillId="0" borderId="0" xfId="0" applyFont="1"/>
    <xf numFmtId="0" fontId="27" fillId="0" borderId="16" xfId="0" applyFont="1" applyFill="1" applyBorder="1" applyAlignment="1">
      <alignment vertical="center" wrapText="1"/>
    </xf>
    <xf numFmtId="0" fontId="28" fillId="8" borderId="2" xfId="0" applyFont="1" applyFill="1" applyBorder="1" applyAlignment="1">
      <alignment horizontal="center" vertical="center"/>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6" fillId="0" borderId="0" xfId="0" applyFont="1" applyAlignment="1">
      <alignment horizontal="center"/>
    </xf>
    <xf numFmtId="0" fontId="14" fillId="6" borderId="2" xfId="0" applyFont="1" applyFill="1" applyBorder="1" applyAlignment="1" applyProtection="1">
      <alignment horizontal="left"/>
      <protection locked="0"/>
    </xf>
    <xf numFmtId="0" fontId="14" fillId="6" borderId="2" xfId="0" applyFont="1" applyFill="1" applyBorder="1" applyAlignment="1" applyProtection="1">
      <alignment horizontal="left" vertical="center" wrapText="1"/>
      <protection locked="0"/>
    </xf>
    <xf numFmtId="0" fontId="0" fillId="0" borderId="27" xfId="0" applyBorder="1"/>
    <xf numFmtId="0" fontId="2" fillId="0" borderId="17" xfId="0" pivotButton="1" applyFont="1" applyBorder="1"/>
    <xf numFmtId="0" fontId="3" fillId="0" borderId="0" xfId="0" applyFont="1" applyFill="1" applyBorder="1" applyAlignment="1">
      <alignment vertical="center" wrapText="1"/>
    </xf>
    <xf numFmtId="0" fontId="29" fillId="0" borderId="0" xfId="0" applyFont="1" applyFill="1" applyBorder="1" applyAlignment="1">
      <alignment vertical="center" wrapText="1"/>
    </xf>
    <xf numFmtId="0" fontId="2" fillId="0" borderId="0" xfId="0" applyFont="1" applyFill="1" applyBorder="1" applyAlignment="1" applyProtection="1">
      <alignment horizontal="right"/>
    </xf>
    <xf numFmtId="0" fontId="2" fillId="0" borderId="0" xfId="0" applyFont="1" applyFill="1" applyBorder="1" applyAlignment="1"/>
    <xf numFmtId="0" fontId="0" fillId="6" borderId="0" xfId="0" applyFill="1"/>
    <xf numFmtId="164" fontId="0" fillId="0" borderId="3" xfId="0" applyNumberFormat="1" applyBorder="1" applyAlignment="1" applyProtection="1">
      <alignment horizontal="right" vertical="center"/>
    </xf>
    <xf numFmtId="164" fontId="0" fillId="0" borderId="7" xfId="0" applyNumberFormat="1" applyBorder="1" applyAlignment="1" applyProtection="1">
      <alignment horizontal="right" vertical="center"/>
    </xf>
    <xf numFmtId="164" fontId="0" fillId="0" borderId="9" xfId="0" applyNumberFormat="1" applyBorder="1" applyAlignment="1" applyProtection="1">
      <alignment horizontal="right" vertical="center"/>
    </xf>
    <xf numFmtId="164" fontId="0" fillId="0" borderId="8" xfId="0" applyNumberFormat="1" applyBorder="1" applyAlignment="1" applyProtection="1">
      <alignment horizontal="right" vertical="center"/>
    </xf>
    <xf numFmtId="0" fontId="2" fillId="0" borderId="0" xfId="0" applyFont="1" applyAlignment="1"/>
    <xf numFmtId="0" fontId="27" fillId="9" borderId="16" xfId="0" applyFont="1" applyFill="1" applyBorder="1" applyAlignment="1">
      <alignment vertical="center" wrapText="1"/>
    </xf>
    <xf numFmtId="0" fontId="16" fillId="9" borderId="0" xfId="0" applyFont="1" applyFill="1"/>
    <xf numFmtId="0" fontId="16" fillId="10" borderId="0" xfId="0" applyFont="1" applyFill="1" applyAlignment="1">
      <alignment horizontal="center"/>
    </xf>
    <xf numFmtId="14" fontId="16" fillId="10" borderId="0" xfId="0" applyNumberFormat="1" applyFont="1" applyFill="1" applyAlignment="1">
      <alignment horizontal="center"/>
    </xf>
    <xf numFmtId="0" fontId="21" fillId="0" borderId="0" xfId="0" applyFont="1" applyAlignment="1">
      <alignment horizontal="center"/>
    </xf>
    <xf numFmtId="0" fontId="14" fillId="0" borderId="2" xfId="0" applyFont="1" applyBorder="1" applyAlignment="1" applyProtection="1">
      <alignment horizontal="center"/>
    </xf>
    <xf numFmtId="0" fontId="14" fillId="6" borderId="2" xfId="0" applyFont="1" applyFill="1" applyBorder="1" applyAlignment="1" applyProtection="1">
      <alignment horizontal="left" wrapText="1"/>
      <protection locked="0"/>
    </xf>
    <xf numFmtId="0" fontId="0" fillId="0" borderId="0" xfId="0" applyFill="1" applyBorder="1" applyAlignment="1"/>
    <xf numFmtId="0" fontId="2" fillId="0" borderId="0" xfId="0" applyFont="1" applyFill="1" applyBorder="1" applyAlignment="1">
      <alignment horizontal="right"/>
    </xf>
    <xf numFmtId="0" fontId="14"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left"/>
      <protection locked="0"/>
    </xf>
    <xf numFmtId="0" fontId="23" fillId="0" borderId="0" xfId="0" applyFont="1" applyFill="1" applyBorder="1" applyAlignment="1">
      <alignment vertical="top" wrapText="1"/>
    </xf>
    <xf numFmtId="0" fontId="33" fillId="0" borderId="0" xfId="0" applyFont="1"/>
    <xf numFmtId="0" fontId="22" fillId="6" borderId="2" xfId="0" applyFont="1" applyFill="1" applyBorder="1" applyAlignment="1" applyProtection="1">
      <alignment horizontal="center"/>
      <protection locked="0"/>
    </xf>
    <xf numFmtId="0" fontId="13" fillId="9" borderId="2" xfId="0" applyFont="1" applyFill="1" applyBorder="1" applyAlignment="1" applyProtection="1">
      <alignment horizontal="center"/>
      <protection locked="0"/>
    </xf>
    <xf numFmtId="0" fontId="15" fillId="0" borderId="0" xfId="0" applyFont="1" applyFill="1"/>
    <xf numFmtId="0" fontId="2" fillId="6" borderId="2" xfId="0" applyFont="1" applyFill="1" applyBorder="1" applyAlignment="1">
      <alignment horizontal="right"/>
    </xf>
    <xf numFmtId="0" fontId="6" fillId="0" borderId="0" xfId="0" applyFont="1" applyAlignment="1"/>
    <xf numFmtId="0" fontId="6" fillId="0" borderId="0" xfId="0" applyFont="1" applyBorder="1" applyAlignment="1"/>
    <xf numFmtId="0" fontId="6" fillId="0" borderId="0" xfId="0" applyFont="1" applyBorder="1" applyAlignment="1">
      <alignment horizontal="right"/>
    </xf>
    <xf numFmtId="0" fontId="6" fillId="0" borderId="0" xfId="0" applyFont="1" applyAlignment="1">
      <alignment horizontal="right"/>
    </xf>
    <xf numFmtId="0" fontId="38" fillId="0" borderId="0" xfId="0" applyFont="1"/>
    <xf numFmtId="0" fontId="2" fillId="0" borderId="0" xfId="0" applyFont="1" applyFill="1" applyAlignment="1"/>
    <xf numFmtId="0" fontId="0" fillId="0" borderId="29" xfId="0" applyBorder="1"/>
    <xf numFmtId="164" fontId="0" fillId="0" borderId="0" xfId="0" applyNumberFormat="1" applyAlignment="1">
      <alignment horizontal="center"/>
    </xf>
    <xf numFmtId="49" fontId="39" fillId="0" borderId="2" xfId="0" applyNumberFormat="1" applyFont="1" applyFill="1" applyBorder="1" applyAlignment="1">
      <alignment horizontal="left"/>
    </xf>
    <xf numFmtId="164" fontId="5" fillId="0" borderId="10" xfId="0" applyNumberFormat="1" applyFont="1" applyFill="1" applyBorder="1" applyAlignment="1" applyProtection="1">
      <alignment vertical="top"/>
      <protection locked="0"/>
    </xf>
    <xf numFmtId="164" fontId="5" fillId="0" borderId="10" xfId="0" applyNumberFormat="1" applyFont="1" applyBorder="1" applyAlignment="1" applyProtection="1">
      <alignment vertical="top"/>
      <protection locked="0"/>
    </xf>
    <xf numFmtId="0" fontId="42" fillId="13" borderId="2" xfId="0" applyFont="1" applyFill="1" applyBorder="1" applyAlignment="1">
      <alignment vertical="center" wrapText="1"/>
    </xf>
    <xf numFmtId="0" fontId="5" fillId="0" borderId="2" xfId="0" applyFont="1" applyBorder="1" applyAlignment="1">
      <alignment vertical="center" wrapText="1"/>
    </xf>
    <xf numFmtId="0" fontId="40" fillId="11" borderId="0" xfId="0" applyFont="1" applyFill="1" applyAlignment="1">
      <alignment horizontal="center"/>
    </xf>
    <xf numFmtId="0" fontId="0" fillId="9" borderId="0" xfId="0" applyFill="1"/>
    <xf numFmtId="49" fontId="39" fillId="0" borderId="2" xfId="0" applyNumberFormat="1" applyFont="1" applyFill="1" applyBorder="1" applyAlignment="1">
      <alignment horizontal="center"/>
    </xf>
    <xf numFmtId="164" fontId="2" fillId="0" borderId="0" xfId="0" applyNumberFormat="1" applyFont="1" applyAlignment="1">
      <alignment horizontal="center" wrapText="1"/>
    </xf>
    <xf numFmtId="164" fontId="0" fillId="9" borderId="0" xfId="0" applyNumberFormat="1" applyFill="1" applyAlignment="1">
      <alignment horizontal="center"/>
    </xf>
    <xf numFmtId="0" fontId="27" fillId="9" borderId="0" xfId="0" applyFont="1" applyFill="1" applyBorder="1" applyAlignment="1">
      <alignment vertical="center" wrapText="1"/>
    </xf>
    <xf numFmtId="0" fontId="16" fillId="9" borderId="16" xfId="0" applyFont="1" applyFill="1" applyBorder="1"/>
    <xf numFmtId="0" fontId="0" fillId="0" borderId="17" xfId="0" pivotButton="1" applyBorder="1"/>
    <xf numFmtId="0" fontId="5" fillId="6" borderId="0" xfId="0" applyFont="1" applyFill="1" applyAlignment="1">
      <alignment horizontal="center"/>
    </xf>
    <xf numFmtId="164" fontId="0" fillId="6" borderId="0" xfId="0" applyNumberFormat="1" applyFill="1" applyAlignment="1">
      <alignment horizontal="center"/>
    </xf>
    <xf numFmtId="0" fontId="44" fillId="0" borderId="2" xfId="0" applyFont="1" applyBorder="1" applyAlignment="1">
      <alignment horizontal="center"/>
    </xf>
    <xf numFmtId="0" fontId="44" fillId="0" borderId="5" xfId="0" applyFont="1" applyBorder="1" applyAlignment="1">
      <alignment horizontal="center"/>
    </xf>
    <xf numFmtId="0" fontId="0" fillId="3" borderId="0" xfId="0" applyFill="1" applyBorder="1" applyAlignment="1" applyProtection="1">
      <alignment horizontal="center"/>
    </xf>
    <xf numFmtId="0" fontId="3" fillId="4" borderId="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2" fillId="0" borderId="13" xfId="0" applyFont="1" applyBorder="1" applyAlignment="1">
      <alignment horizontal="center" vertical="center" wrapText="1"/>
    </xf>
    <xf numFmtId="0" fontId="32" fillId="0" borderId="0" xfId="0" applyFont="1" applyBorder="1" applyAlignment="1">
      <alignment horizontal="center" vertical="center" wrapText="1"/>
    </xf>
    <xf numFmtId="0" fontId="2" fillId="4" borderId="0" xfId="0" applyFont="1" applyFill="1" applyBorder="1" applyAlignment="1">
      <alignment horizontal="center"/>
    </xf>
    <xf numFmtId="0" fontId="5" fillId="0" borderId="2" xfId="0" applyFont="1" applyBorder="1" applyAlignment="1">
      <alignment horizontal="center" wrapText="1"/>
    </xf>
    <xf numFmtId="0" fontId="0" fillId="0" borderId="2" xfId="0" applyBorder="1" applyAlignment="1">
      <alignment horizontal="center" wrapText="1"/>
    </xf>
    <xf numFmtId="0" fontId="29" fillId="6" borderId="11"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0" fillId="6" borderId="4" xfId="0" applyFill="1" applyBorder="1" applyAlignment="1">
      <alignment horizontal="center"/>
    </xf>
    <xf numFmtId="0" fontId="0" fillId="6" borderId="7" xfId="0" applyFill="1" applyBorder="1" applyAlignment="1">
      <alignment horizontal="center"/>
    </xf>
    <xf numFmtId="0" fontId="0" fillId="6" borderId="28" xfId="0" applyFill="1" applyBorder="1" applyAlignment="1">
      <alignment horizontal="center"/>
    </xf>
    <xf numFmtId="0" fontId="0" fillId="6" borderId="8" xfId="0" applyFill="1" applyBorder="1" applyAlignment="1">
      <alignment horizontal="center"/>
    </xf>
    <xf numFmtId="0" fontId="23" fillId="0" borderId="0" xfId="0" applyFont="1" applyFill="1" applyBorder="1" applyAlignment="1">
      <alignment horizontal="center" vertical="top" wrapText="1"/>
    </xf>
    <xf numFmtId="0" fontId="2" fillId="0" borderId="5" xfId="0" applyFont="1" applyBorder="1" applyAlignment="1">
      <alignment horizontal="right" wrapText="1"/>
    </xf>
    <xf numFmtId="0" fontId="2" fillId="2" borderId="2"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164" fontId="2" fillId="0" borderId="2" xfId="0" applyNumberFormat="1" applyFont="1" applyFill="1" applyBorder="1" applyAlignment="1" applyProtection="1">
      <alignment horizontal="right" vertical="center"/>
      <protection locked="0"/>
    </xf>
    <xf numFmtId="0" fontId="2" fillId="0" borderId="2" xfId="0" applyFont="1" applyBorder="1" applyAlignment="1">
      <alignment horizontal="right" wrapText="1"/>
    </xf>
    <xf numFmtId="0" fontId="0" fillId="2" borderId="2" xfId="0" applyFill="1" applyBorder="1" applyAlignment="1">
      <alignment horizontal="center" vertical="center"/>
    </xf>
    <xf numFmtId="0" fontId="2" fillId="6" borderId="2" xfId="0" applyFont="1" applyFill="1" applyBorder="1" applyAlignment="1">
      <alignment horizontal="left" vertical="center"/>
    </xf>
    <xf numFmtId="164" fontId="2" fillId="0" borderId="2" xfId="0" applyNumberFormat="1" applyFont="1" applyBorder="1" applyAlignment="1" applyProtection="1">
      <alignment horizontal="right" vertical="center"/>
      <protection locked="0"/>
    </xf>
    <xf numFmtId="0" fontId="2" fillId="0" borderId="2" xfId="0" applyFont="1" applyBorder="1" applyAlignment="1">
      <alignment horizontal="left" vertical="center"/>
    </xf>
    <xf numFmtId="0" fontId="0" fillId="0" borderId="6" xfId="0" applyBorder="1" applyAlignment="1">
      <alignment horizontal="left" vertical="center" wrapText="1"/>
    </xf>
    <xf numFmtId="0" fontId="0" fillId="0" borderId="10" xfId="0"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vertical="center" wrapText="1"/>
    </xf>
    <xf numFmtId="0" fontId="2"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7" borderId="11"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2"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4" borderId="13" xfId="0" applyFont="1" applyFill="1" applyBorder="1" applyAlignment="1">
      <alignment horizontal="center"/>
    </xf>
    <xf numFmtId="0" fontId="20" fillId="4" borderId="13" xfId="0" applyFont="1" applyFill="1" applyBorder="1" applyAlignment="1">
      <alignment horizontal="center"/>
    </xf>
    <xf numFmtId="0" fontId="20" fillId="4" borderId="0" xfId="0" applyFont="1" applyFill="1" applyBorder="1" applyAlignment="1">
      <alignment horizontal="center"/>
    </xf>
    <xf numFmtId="0" fontId="23" fillId="0" borderId="12" xfId="0" applyFont="1" applyBorder="1" applyAlignment="1">
      <alignment horizontal="center" wrapText="1"/>
    </xf>
    <xf numFmtId="0" fontId="23" fillId="0" borderId="9" xfId="0" applyFont="1" applyBorder="1" applyAlignment="1">
      <alignment horizontal="center" wrapText="1"/>
    </xf>
    <xf numFmtId="0" fontId="23" fillId="0" borderId="8" xfId="0" applyFont="1" applyBorder="1" applyAlignment="1">
      <alignment horizontal="center" wrapText="1"/>
    </xf>
    <xf numFmtId="0" fontId="23" fillId="0" borderId="6" xfId="0" applyFont="1" applyBorder="1" applyAlignment="1">
      <alignment horizontal="center"/>
    </xf>
    <xf numFmtId="0" fontId="23" fillId="0" borderId="4" xfId="0" applyFont="1" applyBorder="1" applyAlignment="1">
      <alignment horizontal="center"/>
    </xf>
    <xf numFmtId="0" fontId="23" fillId="0" borderId="10" xfId="0" applyFont="1" applyBorder="1" applyAlignment="1">
      <alignment horizontal="center"/>
    </xf>
    <xf numFmtId="0" fontId="0" fillId="0" borderId="2" xfId="0" applyBorder="1" applyAlignment="1">
      <alignment horizontal="left" vertical="center" wrapText="1"/>
    </xf>
    <xf numFmtId="0" fontId="2" fillId="9" borderId="2" xfId="0" applyFont="1" applyFill="1" applyBorder="1" applyAlignment="1">
      <alignment horizontal="center" vertical="center"/>
    </xf>
    <xf numFmtId="0" fontId="2" fillId="2" borderId="6" xfId="0" applyFont="1" applyFill="1" applyBorder="1" applyAlignment="1">
      <alignment horizontal="left" vertical="center"/>
    </xf>
    <xf numFmtId="0" fontId="2" fillId="2" borderId="4" xfId="0" applyFont="1" applyFill="1" applyBorder="1" applyAlignment="1">
      <alignment horizontal="left" vertical="center"/>
    </xf>
    <xf numFmtId="0" fontId="2" fillId="2" borderId="10" xfId="0" applyFont="1" applyFill="1" applyBorder="1" applyAlignment="1">
      <alignment horizontal="left" vertical="center"/>
    </xf>
    <xf numFmtId="0" fontId="2" fillId="14" borderId="2" xfId="0" applyFont="1" applyFill="1" applyBorder="1" applyAlignment="1">
      <alignment horizontal="center" vertical="center"/>
    </xf>
    <xf numFmtId="0" fontId="3" fillId="2" borderId="2" xfId="0" applyFont="1" applyFill="1" applyBorder="1" applyAlignment="1">
      <alignment horizontal="left" vertical="center"/>
    </xf>
    <xf numFmtId="0" fontId="2" fillId="2" borderId="1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5" xfId="0" applyFont="1" applyFill="1" applyBorder="1" applyAlignment="1">
      <alignment horizontal="left" vertical="center"/>
    </xf>
    <xf numFmtId="0" fontId="2" fillId="4" borderId="6" xfId="0" applyFont="1" applyFill="1" applyBorder="1" applyAlignment="1">
      <alignment horizontal="center"/>
    </xf>
    <xf numFmtId="0" fontId="2" fillId="4" borderId="4" xfId="0" applyFont="1" applyFill="1" applyBorder="1" applyAlignment="1">
      <alignment horizontal="center"/>
    </xf>
    <xf numFmtId="0" fontId="2" fillId="4" borderId="10" xfId="0" applyFont="1" applyFill="1" applyBorder="1" applyAlignment="1">
      <alignment horizontal="center"/>
    </xf>
    <xf numFmtId="0" fontId="24" fillId="4" borderId="2" xfId="0" applyFont="1" applyFill="1" applyBorder="1" applyAlignment="1">
      <alignment horizontal="center"/>
    </xf>
    <xf numFmtId="0" fontId="23" fillId="0" borderId="2" xfId="0" applyFont="1" applyFill="1" applyBorder="1" applyAlignment="1">
      <alignment horizontal="center"/>
    </xf>
    <xf numFmtId="0" fontId="24" fillId="4" borderId="6" xfId="0" applyFont="1" applyFill="1" applyBorder="1" applyAlignment="1">
      <alignment horizontal="center"/>
    </xf>
    <xf numFmtId="0" fontId="24" fillId="4" borderId="4" xfId="0" applyFont="1" applyFill="1" applyBorder="1" applyAlignment="1">
      <alignment horizontal="center"/>
    </xf>
    <xf numFmtId="0" fontId="24" fillId="4" borderId="10" xfId="0" applyFont="1" applyFill="1" applyBorder="1" applyAlignment="1">
      <alignment horizontal="center"/>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5" fillId="0" borderId="6" xfId="0" applyFont="1" applyBorder="1" applyAlignment="1">
      <alignment horizontal="center"/>
    </xf>
    <xf numFmtId="0" fontId="25" fillId="0" borderId="10" xfId="0" applyFont="1" applyBorder="1" applyAlignment="1">
      <alignment horizontal="center"/>
    </xf>
    <xf numFmtId="0" fontId="2" fillId="3"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5" fillId="4" borderId="6" xfId="0" applyFont="1" applyFill="1" applyBorder="1" applyAlignment="1">
      <alignment horizontal="center" wrapText="1"/>
    </xf>
    <xf numFmtId="0" fontId="5" fillId="4" borderId="10" xfId="0" applyFont="1" applyFill="1" applyBorder="1" applyAlignment="1">
      <alignment horizont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2" fillId="4" borderId="12" xfId="0" applyFont="1" applyFill="1" applyBorder="1" applyAlignment="1">
      <alignment horizontal="center"/>
    </xf>
    <xf numFmtId="0" fontId="0" fillId="0" borderId="9" xfId="0" applyBorder="1" applyAlignment="1"/>
    <xf numFmtId="0" fontId="20" fillId="4" borderId="6" xfId="0" applyFont="1" applyFill="1" applyBorder="1" applyAlignment="1">
      <alignment horizontal="center"/>
    </xf>
    <xf numFmtId="0" fontId="20" fillId="4" borderId="10" xfId="0" applyFont="1" applyFill="1" applyBorder="1" applyAlignment="1">
      <alignment horizontal="center"/>
    </xf>
    <xf numFmtId="0" fontId="2" fillId="0" borderId="0" xfId="0" applyFont="1" applyAlignment="1">
      <alignment horizontal="center"/>
    </xf>
    <xf numFmtId="0" fontId="41" fillId="9" borderId="0" xfId="0" applyFont="1" applyFill="1" applyAlignment="1">
      <alignment horizontal="center"/>
    </xf>
    <xf numFmtId="0" fontId="40" fillId="11" borderId="0" xfId="0" applyFont="1" applyFill="1" applyAlignment="1">
      <alignment horizontal="center"/>
    </xf>
    <xf numFmtId="0" fontId="2" fillId="12" borderId="0" xfId="0" applyFont="1" applyFill="1" applyAlignment="1">
      <alignment horizontal="center"/>
    </xf>
  </cellXfs>
  <cellStyles count="3">
    <cellStyle name="Normal" xfId="0" builtinId="0"/>
    <cellStyle name="Normal_Lists" xfId="1" xr:uid="{00000000-0005-0000-0000-000002000000}"/>
    <cellStyle name="Normal_PS_1" xfId="2" xr:uid="{00000000-0005-0000-0000-000003000000}"/>
  </cellStyles>
  <dxfs count="6">
    <dxf>
      <font>
        <b/>
        <family val="2"/>
      </font>
    </dxf>
    <dxf>
      <font>
        <b/>
        <family val="2"/>
      </font>
    </dxf>
    <dxf>
      <font>
        <b/>
        <family val="2"/>
      </font>
    </dxf>
    <dxf>
      <font>
        <b/>
        <family val="2"/>
      </font>
    </dxf>
    <dxf>
      <font>
        <b/>
        <family val="2"/>
      </font>
    </dxf>
    <dxf>
      <font>
        <b/>
        <family val="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666750</xdr:colOff>
      <xdr:row>11</xdr:row>
      <xdr:rowOff>28575</xdr:rowOff>
    </xdr:from>
    <xdr:to>
      <xdr:col>5</xdr:col>
      <xdr:colOff>581025</xdr:colOff>
      <xdr:row>23</xdr:row>
      <xdr:rowOff>28575</xdr:rowOff>
    </xdr:to>
    <mc:AlternateContent xmlns:mc="http://schemas.openxmlformats.org/markup-compatibility/2006" xmlns:a14="http://schemas.microsoft.com/office/drawing/2010/main">
      <mc:Choice Requires="a14">
        <xdr:graphicFrame macro="">
          <xdr:nvGraphicFramePr>
            <xdr:cNvPr id="3" name="PHYSICAL ADDR 1">
              <a:extLst>
                <a:ext uri="{FF2B5EF4-FFF2-40B4-BE49-F238E27FC236}">
                  <a16:creationId xmlns:a16="http://schemas.microsoft.com/office/drawing/2014/main" id="{A7FA2A2A-9EF3-4AD0-9BF8-0F767B94A2E4}"/>
                </a:ext>
              </a:extLst>
            </xdr:cNvPr>
            <xdr:cNvGraphicFramePr/>
          </xdr:nvGraphicFramePr>
          <xdr:xfrm>
            <a:off x="0" y="0"/>
            <a:ext cx="0" cy="0"/>
          </xdr:xfrm>
          <a:graphic>
            <a:graphicData uri="http://schemas.microsoft.com/office/drawing/2010/slicer">
              <sle:slicer xmlns:sle="http://schemas.microsoft.com/office/drawing/2010/slicer" name="PHYSICAL ADDR 1"/>
            </a:graphicData>
          </a:graphic>
        </xdr:graphicFrame>
      </mc:Choice>
      <mc:Fallback xmlns="">
        <xdr:sp macro="" textlink="">
          <xdr:nvSpPr>
            <xdr:cNvPr id="0" name=""/>
            <xdr:cNvSpPr>
              <a:spLocks noTextEdit="1"/>
            </xdr:cNvSpPr>
          </xdr:nvSpPr>
          <xdr:spPr>
            <a:xfrm>
              <a:off x="10048875" y="1838325"/>
              <a:ext cx="3762375" cy="194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1781174</xdr:colOff>
      <xdr:row>11</xdr:row>
      <xdr:rowOff>38101</xdr:rowOff>
    </xdr:from>
    <xdr:to>
      <xdr:col>0</xdr:col>
      <xdr:colOff>3028950</xdr:colOff>
      <xdr:row>23</xdr:row>
      <xdr:rowOff>19051</xdr:rowOff>
    </xdr:to>
    <mc:AlternateContent xmlns:mc="http://schemas.openxmlformats.org/markup-compatibility/2006" xmlns:a14="http://schemas.microsoft.com/office/drawing/2010/main">
      <mc:Choice Requires="a14">
        <xdr:graphicFrame macro="">
          <xdr:nvGraphicFramePr>
            <xdr:cNvPr id="4" name="DISTRICT 1">
              <a:extLst>
                <a:ext uri="{FF2B5EF4-FFF2-40B4-BE49-F238E27FC236}">
                  <a16:creationId xmlns:a16="http://schemas.microsoft.com/office/drawing/2014/main" id="{BDB44ADE-8506-4BEB-87AE-2499A59715D7}"/>
                </a:ext>
              </a:extLst>
            </xdr:cNvPr>
            <xdr:cNvGraphicFramePr/>
          </xdr:nvGraphicFramePr>
          <xdr:xfrm>
            <a:off x="0" y="0"/>
            <a:ext cx="0" cy="0"/>
          </xdr:xfrm>
          <a:graphic>
            <a:graphicData uri="http://schemas.microsoft.com/office/drawing/2010/slicer">
              <sle:slicer xmlns:sle="http://schemas.microsoft.com/office/drawing/2010/slicer" name="DISTRICT 1"/>
            </a:graphicData>
          </a:graphic>
        </xdr:graphicFrame>
      </mc:Choice>
      <mc:Fallback xmlns="">
        <xdr:sp macro="" textlink="">
          <xdr:nvSpPr>
            <xdr:cNvPr id="0" name=""/>
            <xdr:cNvSpPr>
              <a:spLocks noTextEdit="1"/>
            </xdr:cNvSpPr>
          </xdr:nvSpPr>
          <xdr:spPr>
            <a:xfrm>
              <a:off x="1781174" y="1847851"/>
              <a:ext cx="1247776" cy="192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600076</xdr:colOff>
      <xdr:row>11</xdr:row>
      <xdr:rowOff>28575</xdr:rowOff>
    </xdr:from>
    <xdr:to>
      <xdr:col>12</xdr:col>
      <xdr:colOff>76201</xdr:colOff>
      <xdr:row>23</xdr:row>
      <xdr:rowOff>28574</xdr:rowOff>
    </xdr:to>
    <mc:AlternateContent xmlns:mc="http://schemas.openxmlformats.org/markup-compatibility/2006" xmlns:a14="http://schemas.microsoft.com/office/drawing/2010/main">
      <mc:Choice Requires="a14">
        <xdr:graphicFrame macro="">
          <xdr:nvGraphicFramePr>
            <xdr:cNvPr id="6" name="CITY, STATE, ZIP 1">
              <a:extLst>
                <a:ext uri="{FF2B5EF4-FFF2-40B4-BE49-F238E27FC236}">
                  <a16:creationId xmlns:a16="http://schemas.microsoft.com/office/drawing/2014/main" id="{E05C7087-A4EC-4F8E-A6F4-1B8C9E192F6E}"/>
                </a:ext>
              </a:extLst>
            </xdr:cNvPr>
            <xdr:cNvGraphicFramePr/>
          </xdr:nvGraphicFramePr>
          <xdr:xfrm>
            <a:off x="0" y="0"/>
            <a:ext cx="0" cy="0"/>
          </xdr:xfrm>
          <a:graphic>
            <a:graphicData uri="http://schemas.microsoft.com/office/drawing/2010/slicer">
              <sle:slicer xmlns:sle="http://schemas.microsoft.com/office/drawing/2010/slicer" name="CITY, STATE, ZIP 1"/>
            </a:graphicData>
          </a:graphic>
        </xdr:graphicFrame>
      </mc:Choice>
      <mc:Fallback xmlns="">
        <xdr:sp macro="" textlink="">
          <xdr:nvSpPr>
            <xdr:cNvPr id="0" name=""/>
            <xdr:cNvSpPr>
              <a:spLocks noTextEdit="1"/>
            </xdr:cNvSpPr>
          </xdr:nvSpPr>
          <xdr:spPr>
            <a:xfrm>
              <a:off x="13830301" y="1838325"/>
              <a:ext cx="3143250" cy="1943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371475</xdr:colOff>
      <xdr:row>11</xdr:row>
      <xdr:rowOff>38101</xdr:rowOff>
    </xdr:from>
    <xdr:to>
      <xdr:col>0</xdr:col>
      <xdr:colOff>1657350</xdr:colOff>
      <xdr:row>23</xdr:row>
      <xdr:rowOff>19050</xdr:rowOff>
    </xdr:to>
    <mc:AlternateContent xmlns:mc="http://schemas.openxmlformats.org/markup-compatibility/2006" xmlns:a14="http://schemas.microsoft.com/office/drawing/2010/main">
      <mc:Choice Requires="a14">
        <xdr:graphicFrame macro="">
          <xdr:nvGraphicFramePr>
            <xdr:cNvPr id="7" name="ST_PRVCE">
              <a:extLst>
                <a:ext uri="{FF2B5EF4-FFF2-40B4-BE49-F238E27FC236}">
                  <a16:creationId xmlns:a16="http://schemas.microsoft.com/office/drawing/2014/main" id="{DE42AE26-47A8-4C93-AD4C-278366A255BC}"/>
                </a:ext>
              </a:extLst>
            </xdr:cNvPr>
            <xdr:cNvGraphicFramePr/>
          </xdr:nvGraphicFramePr>
          <xdr:xfrm>
            <a:off x="0" y="0"/>
            <a:ext cx="0" cy="0"/>
          </xdr:xfrm>
          <a:graphic>
            <a:graphicData uri="http://schemas.microsoft.com/office/drawing/2010/slicer">
              <sle:slicer xmlns:sle="http://schemas.microsoft.com/office/drawing/2010/slicer" name="ST_PRVCE"/>
            </a:graphicData>
          </a:graphic>
        </xdr:graphicFrame>
      </mc:Choice>
      <mc:Fallback xmlns="">
        <xdr:sp macro="" textlink="">
          <xdr:nvSpPr>
            <xdr:cNvPr id="0" name=""/>
            <xdr:cNvSpPr>
              <a:spLocks noTextEdit="1"/>
            </xdr:cNvSpPr>
          </xdr:nvSpPr>
          <xdr:spPr>
            <a:xfrm>
              <a:off x="371475" y="1847851"/>
              <a:ext cx="1285875" cy="19240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3105150</xdr:colOff>
      <xdr:row>11</xdr:row>
      <xdr:rowOff>47625</xdr:rowOff>
    </xdr:from>
    <xdr:to>
      <xdr:col>0</xdr:col>
      <xdr:colOff>4457700</xdr:colOff>
      <xdr:row>23</xdr:row>
      <xdr:rowOff>19050</xdr:rowOff>
    </xdr:to>
    <mc:AlternateContent xmlns:mc="http://schemas.openxmlformats.org/markup-compatibility/2006" xmlns:a14="http://schemas.microsoft.com/office/drawing/2010/main">
      <mc:Choice Requires="a14">
        <xdr:graphicFrame macro="">
          <xdr:nvGraphicFramePr>
            <xdr:cNvPr id="8" name="COUNTY">
              <a:extLst>
                <a:ext uri="{FF2B5EF4-FFF2-40B4-BE49-F238E27FC236}">
                  <a16:creationId xmlns:a16="http://schemas.microsoft.com/office/drawing/2014/main" id="{95959450-C8E0-4A98-8B37-147E0CAFAAFC}"/>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3105150" y="1857375"/>
              <a:ext cx="1352550" cy="1914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4486275</xdr:colOff>
      <xdr:row>11</xdr:row>
      <xdr:rowOff>47625</xdr:rowOff>
    </xdr:from>
    <xdr:to>
      <xdr:col>3</xdr:col>
      <xdr:colOff>609600</xdr:colOff>
      <xdr:row>23</xdr:row>
      <xdr:rowOff>19050</xdr:rowOff>
    </xdr:to>
    <mc:AlternateContent xmlns:mc="http://schemas.openxmlformats.org/markup-compatibility/2006" xmlns:a14="http://schemas.microsoft.com/office/drawing/2010/main">
      <mc:Choice Requires="a14">
        <xdr:graphicFrame macro="">
          <xdr:nvGraphicFramePr>
            <xdr:cNvPr id="5" name="PRODR_SUPP_NM">
              <a:extLst>
                <a:ext uri="{FF2B5EF4-FFF2-40B4-BE49-F238E27FC236}">
                  <a16:creationId xmlns:a16="http://schemas.microsoft.com/office/drawing/2014/main" id="{961A35C1-1AA2-41DB-A455-5ECF733075FE}"/>
                </a:ext>
              </a:extLst>
            </xdr:cNvPr>
            <xdr:cNvGraphicFramePr/>
          </xdr:nvGraphicFramePr>
          <xdr:xfrm>
            <a:off x="0" y="0"/>
            <a:ext cx="0" cy="0"/>
          </xdr:xfrm>
          <a:graphic>
            <a:graphicData uri="http://schemas.microsoft.com/office/drawing/2010/slicer">
              <sle:slicer xmlns:sle="http://schemas.microsoft.com/office/drawing/2010/slicer" name="PRODR_SUPP_NM"/>
            </a:graphicData>
          </a:graphic>
        </xdr:graphicFrame>
      </mc:Choice>
      <mc:Fallback xmlns="">
        <xdr:sp macro="" textlink="">
          <xdr:nvSpPr>
            <xdr:cNvPr id="0" name=""/>
            <xdr:cNvSpPr>
              <a:spLocks noTextEdit="1"/>
            </xdr:cNvSpPr>
          </xdr:nvSpPr>
          <xdr:spPr>
            <a:xfrm>
              <a:off x="4486275" y="1857375"/>
              <a:ext cx="5505450" cy="1914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Alatsis" refreshedDate="44224.468587962961" createdVersion="6" refreshedVersion="6" minRefreshableVersion="3" recordCount="623" xr:uid="{253242C0-BD04-4F63-8BB3-0150E287C13D}">
  <cacheSource type="worksheet">
    <worksheetSource ref="B700:L1323" sheet="PS"/>
  </cacheSource>
  <cacheFields count="11">
    <cacheField name="PRODR_SUPP_NM" numFmtId="0">
      <sharedItems count="544">
        <s v="ALLEGA-CLEVELAND"/>
        <s v="ALLEGA-PAINESVILLE"/>
        <s v="ALLEGA-RICHFIELD"/>
        <s v="ALLEGA-VALLEY VIEW"/>
        <s v="ALLEGA-VROOMAN RD"/>
        <s v="ALLEGHENY MINERAL-HARRISVILLE"/>
        <s v="ALLEGHENY MINERAL-PRINCETON"/>
        <s v="ALLEGHENY MINERAL-SLIPPERY ROCK"/>
        <s v="ALLIED CORP-MASSILLON"/>
        <s v="ALLIED CORP-MASSILLON&quot;SHELLY MATLS-COPLEY&quot;"/>
        <s v="ALLIED CORP-MASSILLON&quot;SHELLY MATLS-CUYAHOGA RD&quot;"/>
        <s v="ALLIED CORP-MASSILLON&quot;SHELLY MATLS-MEDINA&quot;"/>
        <s v="ALLIED CORP-PETERSBURG - &quot;SHELLY MATLS-ALLIANCE&quot;"/>
        <s v="ALLIED-MASSILLON - &quot;SHELLY MATLS-WEST 130TH&quot;"/>
        <s v="ALLIED-PETERSBURG - &quot;SHELLY MATLS-WEST 130TH&quot;"/>
        <s v="AMERICAN S&amp;G-HIGH MILL PlANT #6"/>
        <s v="AMERICAN S&amp;G-MASSILLON"/>
        <s v="AMERICAN S&amp;G-MASSILLON&quot;SHELLY MATLS-MEDINA&quot;"/>
        <s v="AMERIKOHL AGGREGATES - GARDNER QUARRY"/>
        <s v="AMERIKOHL AGGREGATES-MCMILLIN"/>
        <s v="AMERIKOHL AGGREGATES-MOSCIPAN QUARRY"/>
        <s v="ARCH MATERIALS-BATAVIA"/>
        <s v="AREA AGG-WOODVILLE"/>
        <s v="AREA AGG-WOODVILLE&quot;AREA AGG-COLLINWOOD&quot;"/>
        <s v="AURORA AGGREGATE SUPPLY-RAINBOW S&amp;G"/>
        <s v="BALLENTINE S&amp;G LLC-RAVENNA"/>
        <s v="BARRETT PAVING MATLS-HARDIN"/>
        <s v="BARRETT PAVING MATLS-MIAMI RIVER STONE"/>
        <s v="BARRETT PAVING MATLS-W.CARROLLTON"/>
        <s v="BARRETT PAVING-FAIRBORN"/>
        <s v="BARRETT PAVING-LUDLOW FALLS"/>
        <s v="BARRETT PAVING-RICHMOND"/>
        <s v="BECK S&amp;G-RAVENNA"/>
        <s v="BELPRE S&amp;G-LITTLE HOCKING"/>
        <s v="BELPRE S&amp;G-LITTLE HOCKING&quot;MAR-ZANE MATLS-MARIETTA&quot;"/>
        <s v="BELPRE SD&amp;GR-LITTLE HOCKING&quot;M.M.-NEW MARTINSVILLE&quot;"/>
        <s v="BELPRE SD&amp;GR-LITTLE HOCKING&quot;M.M.-RAVENSWOOD&quot;"/>
        <s v="BELPRE SD&amp;GR-LITTLE HOCKING&quot;MARTIN MARIETTA-PARKE&quot;"/>
        <s v="BEST SAND-CHARDON"/>
        <s v="BRIER HILL SLAG-YOUNGSTOWN"/>
        <s v="BROOKSIDE MATERIALS - BROOKSIDE"/>
        <s v="C.F. POEPPELMAN-BRADFORD"/>
        <s v="CARDINAL AGG-PERRYSBURG"/>
        <s v="CARMEUSE CEDARVILLE&quot;PINNEY DOCK-ASHTABULA&quot;"/>
        <s v="CARMEUSE&quot;MARTIN MARIETA-RAVENSWOOD,WVA&quot;"/>
        <s v="CARMEUSE-BLACK RIVER&quot;M.M.-NEW MARTINSVILE WV YARD&quot;"/>
        <s v="CARMEUSE-BLACK RIVER&quot;MARTIN MARIETTA-KELLOGG&quot;"/>
        <s v="CARMEUSE-BLACK RIVER&quot;MARTIN MARIETTA-PARKERSBURG&quot;"/>
        <s v="CARMEUSE-CALCITE&quot;ONTARIO STONE-CLEVELAND&quot;"/>
        <s v="CARMEUSE-CALCITE&quot;P&amp;C DOCK-CONNEAUT&quot;"/>
        <s v="CARMEUSE-CEDARVILLE &quot;CARMEUSE-ERIE DOCK&quot;"/>
        <s v="CARMEUSE-CEDARVILLE&quot;ONTARIO STONE-CLEVELAND&quot;"/>
        <s v="CARMEUSE-CEDARVILLE&quot;OSBORNE-GRAND RIVER&quot;"/>
        <s v="CARMEUSE-CEDARVILLE&quot;P&amp;C DOCK-CONNEAUT&quot;"/>
        <s v="CARMEUSE-CEDARVILLE&quot;SHELLY MATLS-CUYAHOGA RD&quot;"/>
        <s v="CARMEUSE-MAYSVILLE&quot;EATON ASPHALT-MAYSVILLE,KY&quot;"/>
        <s v="CARMEUSE-MAYSVILLE&quot;MARTIN MARIETTA-KELLOGG&quot;"/>
        <s v="CARMEUSE-MAYSVILLE&quot;MARTIN MARIETTA-PARKERSBURG&quot;"/>
        <s v="CARMEUSE-MAYSVILLE&quot;MARTIN MAR-NEW MARTINSVILLE&quot;"/>
        <s v="CARMEUSE-MAYSVILLE&quot;MARTIN MAR-RAVENSWOOD,WVA&quot;"/>
        <s v="CARMEUSE-MAYSVILLE&quot;MAR-ZANE MATERIALS-BENWOOD&quot;"/>
        <s v="CARMEUSE-MAYSVILLE&quot;MAR-ZANE-WEIRTON&quot;"/>
        <s v="CARMEUSE-MAYSVILLE&quot;NATIONAL L&amp;S-NEW MARTINSVILLE&quot;"/>
        <s v="CARMEUSE-MAYSVILLE&quot;OHIO RIVER AGG - CLARINGTON&quot;"/>
        <s v="CARMEUSE-MAYSVILLE&quot;YAGER MATERIALS-EGYPT VALLEY&quot;"/>
        <s v="CARMEUSE-MAYSVILLE&quot;YAGER MATLS-BEAVERTOWN&quot;"/>
        <s v="CARMEUSE-PT.INLAND&quot;ONTARIO STONE-CLEVELAND&quot;"/>
        <s v="CARMEUSE-PT.INLAND&quot;OSBORNE CLEVELAND YARD&quot;"/>
        <s v="CARMEUSE-PT.INLAND&quot;OSBORNE-GRAND RIVER&quot;"/>
        <s v="CARMEUSE-PT.INLAND&quot;P&amp;C DOCK-CONNEAUT&quot;"/>
        <s v="CARMEUSE-PT.INLAND&quot;PINNEY DOCK-ASHTABULA&quot;"/>
        <s v="CARMUESE-BLACK RIVER&quot;M.M.-RAVENSWOOD,WV YARD&quot;"/>
        <s v="CARMUESE-CALCITE&quot;PINNEY DOCK-ASHTABULA&quot;"/>
        <s v="CENTRAL-ALLIED ENTERPRISE-MASSILLON"/>
        <s v="CENTRAL-ALLIED ENTERPRISES-CANTON AGGREGATE"/>
        <s v="CHRISTMAN QUARRY-SWAZEY ROAD"/>
        <s v="CITY SLAG-HERMITAGE"/>
        <s v="CITY STONE-MILTON TOWNSHIP"/>
        <s v="CLARK CLAY - NEWCOMERSTOWN"/>
        <s v="CLEVELAND SLAG-CLEVELAND&quot;ACME CO.-N.JACKSON&quot;"/>
        <s v="CLEVELAND SLAG-CLEVELAND&quot;SHELLY MATLS-CUYAHOGA RD&quot;"/>
        <s v="CORE AGGREGATES-KENT"/>
        <s v="CUMBERLAND LIMESTONE-CUMBERLAND"/>
        <s v="D&amp;K MATLS-MOGADORE"/>
        <s v="DOREN-TAYLOR"/>
        <s v="DRUMMOND ISLE STONE&quot;OSBORNE-CLEVELAND&quot;"/>
        <s v="DRUMMOND ISLE STONE&quot;OSBORNE-FAIRPORT&quot;"/>
        <s v="DRUMMOND ISLE STONE-DRUMMOND&quot;LAFARGE-CLEVELAND&quot;"/>
        <s v="DUFF QUARRY-HUNTSVILLE"/>
        <s v="EAGLE MATERIALS-GERMANTOWN"/>
        <s v="EAST FAIRFIELD COAL-HONEY CREEK"/>
        <s v="EAST FAIRFIELD-PETERSBURG&quot;ACME CO.-N.JACKSON&quot;"/>
        <s v="ELKO AGGREGATE-GUYSVILLE"/>
        <s v="ELKO AGGREGATE-WELLSTON"/>
        <s v="ENON S&amp;G-ENON"/>
        <s v="ERIE MATLS-SANDUSKY"/>
        <s v="ERIE MATLS-SANDUSKY - &quot;SHELLY MATLS-ALLIANCE&quot;"/>
        <s v="ERIE MATLS-SANDUSKY &quot;SHELLY MATLS-TWINSBURG&quot;"/>
        <s v="ERVIN HILL-HILLSBORO"/>
        <s v="EVANS S&amp;G-MT CARMEL"/>
        <s v="FEIKERT S&amp;G-FREDERICKSBURG"/>
        <s v="FOUREMANS S&amp;G-GREENVILLE"/>
        <s v="FULTON MILL-DELTA"/>
        <s v="GENOA LIMESTONE-GENOA"/>
        <s v="GERKEN CO - GLACIAL S&amp;G&quot;GERKEN CO - SYLVANIA&quot;"/>
        <s v="GERKEN CO-BLUFFTON"/>
        <s v="GERKEN CO-CLINTON"/>
        <s v="GERKEN CO-CUSTAR STONE"/>
        <s v="GERKEN CO-CUSTAR STONE&quot;GERKEN CO-PIONEER&quot;"/>
        <s v="GERKEN CO-GLACIAL S&amp;G"/>
        <s v="GERKEN CO-GLACIAL S&amp;G&quot;GERKEN CO-PIONEER&quot;"/>
        <s v="GERKEN CO-HILLSDALE S&amp;G"/>
        <s v="GERKEN CO-ROUND LAKE S&amp;G"/>
        <s v="GERKEN CO-TECUMSEH"/>
        <s v="GERKEN CO-TECUMSEH&quot;GERKEN CO-SYLVANIA&quot;"/>
        <s v="GERKEN CO-WEST MILLGROVE STONE"/>
        <s v="GERKEN CO-WEST MILLGROVE&quot;GERKEN CO-STONY RIDGE&quot;"/>
        <s v="GREER-MORGANTOWN,WV&quot;MAR-ZANE MATERIALS-BETHESDA&quot;"/>
        <s v="HAYDON MATLS-BATTLETOWN&quot;NATIONAL L&amp;S-WILLIAMTOWN&quot;"/>
        <s v="HAYDON MATLS-BATTLETOWN&quot;NATIONAL-NEW MARTINSVILLE&quot;"/>
        <s v="HAYDON MATLS-BATTLETOWN&quot;YAGER MATLS-BEAVERTOWN&quot;"/>
        <s v="HILLTOP BASIC-BIG BEND&quot;HILLTOP BASIC-DOWNTOWN CIN&quot;"/>
        <s v="HILLTOP BASIC-BIG BEND&quot;HILLTOP BASIC-E.CINCINNATI&quot;"/>
        <s v="HILLTOP BASIC-BIG BEND&quot;NATIONAL L&amp;S-NEW MARTINSV&quot;"/>
        <s v="HILLTOP BASIC-BIG BEND&quot;NATIONAL L&amp;S-WILLIAMSTOWN&quot;"/>
        <s v="HILLTOP BASIC-BIG BEND&quot;OHIO RIVER AGG-MOUNDSVILLE&quot;"/>
        <s v="HILLTOP BASIC-BUTLER"/>
        <s v="HILLTOP BASIC-BUTLER&quot;HILLTOP BASIC-DOWNTOWN CINCI&quot;"/>
        <s v="HILLTOP BASIC-BUTLER&quot;HILLTOP BASIC-E.CINCINNATI R&quot;"/>
        <s v="HILLTOP BASIC-BUTLER&quot;MARTIN MARIETTA-KELLOGG&quot;"/>
        <s v="HILLTOP BASIC-BUTLER&quot;MARTIN MARIETTA-PARKERSBURG&quot;"/>
        <s v="HILLTOP BASIC-PATRIOT&quot;HILLTOP BASIC- E.CINCINNATI&quot;"/>
        <s v="HILLTOP BASIC-PATRIOT&quot;HILLTOP BASIC-DOWNTOWN CIN&quot;"/>
        <s v="HILLTOP BASIC-PATRIOT&quot;HILLTOP BASIC-DOWNTOWN CINC&quot;"/>
        <s v="HOCKING VALLEY CONCRETE-LOGAN"/>
        <s v="HOLMES READYMIX CONCRETE-MILLERSBURG"/>
        <s v="HOLMES REDIMIX CONCRETE-MILLERSBURG"/>
        <s v="HOLMES SUPPLY-HOLMESVILLE"/>
        <s v="HUGO SAND-HUGO"/>
        <s v="INDEPENDENCE EXCAVATING-CLEVELAND"/>
        <s v="IRVING MATERIALS-CAMBRIDGE CITY"/>
        <s v="IRVING MATERIALS-CONNERSVILLE"/>
        <s v="IRVING S&amp;G - ANGOLA"/>
        <s v="IRVING S&amp;G-HENSCHEN"/>
        <s v="JEFFERSON-STREETSBORO - &quot;SHELLY MATLS-WEST 130TH&quot;"/>
        <s v="K.C.I. S&amp;G-LOGAN"/>
        <s v="KIMBLE CLAY &amp; LS - SLANKARD"/>
        <s v="KIMBLE CLAY &amp; LS-DOVER"/>
        <s v="KING QUARRIES-CALDWELL"/>
        <s v="KIRBY S&amp;G-U.SANDUSKY"/>
        <s v="L&amp;K STONE - BELPRE"/>
        <s v="LAFARGE-DUQUESNE"/>
        <s v="LAFARGE-MANITOULIN&quot;LAFARGE-CLEVELAND&quot;"/>
        <s v="LAFARGE-MANITOULIN&quot;LAFARGE-RIVER DOCK&quot;"/>
        <s v="LAFARGE-MANITOULIN&quot;LAFARGE-TERMINAL DOCK&quot;"/>
        <s v="LAFARGE-MANITOULIN&quot;OSBORNE-CLEVELAND&quot;"/>
        <s v="LAFARGE-MANITOULIN&quot;RW SIDLEY-ASHTABULA&quot;"/>
        <s v="LAFARGE-MANITOULIN&quot;RW SIDLEY-GRAND RIVER&quot;"/>
        <s v="LAFARGE-MANITOULIN&quot;SHELLY MATLS-CUYAHOGA RD&quot;"/>
        <s v="LAFARGE-MARBLEHEAD"/>
        <s v="LAFARGE-MARBLEHEAD &quot;LAFARGE-CLEVELAND&quot;"/>
        <s v="LAFARGE-MARBLEHEAD &quot;ONTARIO STONE-CLEVELAND&quot;"/>
        <s v="LAFARGE-MARBLEHEAD &quot;OSBORNE-CLEVELAND&quot;"/>
        <s v="LAFARGE-MARBLEHEAD &quot;OSBORNE-GRAND RIVER&quot;"/>
        <s v="LAFARGE-MARBLEHEAD&quot;LAFARGE-RIVER DOCK&quot;"/>
        <s v="LAFARGE-MARBLEHEAD&quot;LAFARGE-TERMINAL DOCK&quot;"/>
        <s v="LAFARGE-MARBLEHEAD&quot;RW SIDLEY-ASHTABULA&quot;"/>
        <s v="LAFARGE-MARBLEHEAD&quot;RW SIDLEY-GRAND RIVER&quot;"/>
        <s v="LAFARGE-MARBLEHEAD&quot;SHELLY MATLS-CUYAHOGA RD.&quot;"/>
        <s v="LAFARGE-PAULDING"/>
        <s v="LAFARGE-PRESQUE ISLE&quot;LAFARGE-CLEVELAND&quot;"/>
        <s v="LAFARGE-PRESQUE ISLE&quot;LAFARGE-RIVER DOCK&quot;"/>
        <s v="LAFARGE-PRESQUE ISLE&quot;LAFARGE-TERMINAL DOCK&quot;"/>
        <s v="LAFARGE-PRESQUE ISLE&quot;OSBORNE-CLEVELAND&quot;"/>
        <s v="LAFARGE-PRESQUE ISLE&quot;OSBORNE-FAIRPORT&quot;"/>
        <s v="LAKESIDE S&amp;G-SHALERSVILLE"/>
        <s v="LAKESIDE S&amp;G-SHALERSVILLE&quot;ACME CO-N. JACKSON&quot;"/>
        <s v="LAKESIDE S&amp;G-SHALERSVILLE&quot;LAFARGE - CLEVELAND&quot;"/>
        <s v="LATHAM LIMESTONE-LATHAM"/>
        <s v="LATHAM LIMESTONE-LATHAM&quot;DIAMOND STONE-ALBANY&quot;"/>
        <s v="LATHAM LIMESTONE-LATHAM&quot;LATHAM LIMESTONE-OAK HILL&quot;"/>
        <s v="LEHIGH HANSON - SPRINGFIELD PIKE"/>
        <s v="LEHIGH HANSON - WAGNER&quot;JAB SUPPLY CORP-WICKLIFFE&quot;"/>
        <s v="LEHIGH HANSON-ANGOLA, IN"/>
        <s v="LEHIGH HANSON-BESSEMER"/>
        <s v="LEHIGH HANSON-BLOOMVILLE"/>
        <s v="LEHIGH HANSON-CLEVES"/>
        <s v="LEHIGH HANSON-CLEVES&quot;LEHIGH HANSON-BATAVIA&quot;"/>
        <s v="LEHIGH HANSON-GRAYSON"/>
        <s v="LEHIGH HANSON-PEEBLES"/>
        <s v="LEHIGH HANSON-PEEBLES&quot;LEHIGH HANSON-BATAVIA&quot;"/>
        <s v="LEHIGH HANSON-SANDUSKY"/>
        <s v="LEHIGH HANSON-SANDUSKY&quot;&quot;JAB SUPPLY CORP-WICKLIFFE&quot;"/>
        <s v="LEHIGH HANSON-SANDUSKY&quot;JAB SUPPLY CORP-WICKLIFFE&quot;"/>
        <s v="LEHIGH HANSON-SANDUSKY&quot;NATIONAL L&amp;S-CANTON&quot;"/>
        <s v="LEHIGH HANSON-SANDUSKY&quot;NATIONAL L&amp;S-MARTINS FERRY&quot;"/>
        <s v="LEHIGH HANSON-SANDUSKY&quot;NATIONAL L&amp;S-STARK&quot;"/>
        <s v="LEHIGH HANSON-SANDUSKY&quot;OSBORNE MEDINA-LODI&quot;"/>
        <s v="LEHIGH HANSON-SANDUSKY&quot;OSBORNE MEDINA-MEDINA&quot;"/>
        <s v="LEHIGH HANSON-SANDUSKY&quot;OSBORNE-CLEVELAND&quot;"/>
        <s v="LEHIGH HANSON-SANDUSKY&quot;OSBORNE-DARROW RD&quot;"/>
        <s v="LEHIGH HANSON-SANDUSKY&quot;SHELLY MATLS-COPLEY &quot;"/>
        <s v="LEHIGH HANSON-SANDUSKY&quot;SHELLY MATLS-PORTAGE&quot;"/>
        <s v="LEHIGH HANSON-SANDUSKY&quot;SHELLY MATLS-WEST 130TH&quot;"/>
        <s v="LEHIGH HANSON-SARGENTS"/>
        <s v="LEHIGH HANSON-SPRINGFIELD PIKE &quot; SWANK YARD&quot;"/>
        <s v="LEHIGH HANSON-SYLVANIA"/>
        <s v="LEHIGH HANSON-VERSAILLES"/>
        <s v="LEHIGH HANSON-WAGNER"/>
        <s v="LEHIGH HANSON-WAGNER &quot;SHELLY MATLS-TWINSBURG&quot;"/>
        <s v="LEHIGH HANSON-WAGNER&quot;OSBORNE MEDINA-MEDINA&quot;"/>
        <s v="LEHIGH HANSON-WAGNER&quot;OSBORNE-DARROW RD&quot;"/>
        <s v="LEHIGH HANSON-WAGNER&quot;SHELLY MATLS-ALLIANCE&quot;"/>
        <s v="LEHIGH HANSON-WAGNER&quot;SHELLY MATLS-COPLEY&quot;"/>
        <s v="LEHIGH HANSON-WATERVILLE"/>
        <s v="LEHIGH HANSON-WINCHESTER"/>
        <s v="LEHIGH HANSON-WINCHESTER&quot;LEHIGH HANSON-BATAVIA&quot;"/>
        <s v="LEHIGH HANSON-WOODBURN,IN"/>
        <s v="LETART-GALLIPOLIS,WV"/>
        <s v="MARTIN MARIETTA- E-TOWN S&amp;G"/>
        <s v="MARTIN MARIETTA-APPLE GROVE"/>
        <s v="MARTIN MARIETTA-APPLE GROVE&quot;M.M.-NEW MARTINSVILLE&quot;"/>
        <s v="MARTIN MARIETTA-APPLE GROVE&quot;MARTIN MARIETTA-PARKE&quot;"/>
        <s v="MARTIN MARIETTA-APPLE GROVE&quot;MARTIN MAR-RAVENSWOOD&quot;"/>
        <s v="MARTIN MARIETTA-BURNIGN SPRI&quot;M.M.-NEW MARTINSVILE&quot;"/>
        <s v="MARTIN MARIETTA-BURNIGN SPRIN&quot;M.M.-RAVENSWOOD,WVA&quot;"/>
        <s v="MARTIN MARIETTA-BURNING SPRINGS"/>
        <s v="MARTIN MARIETTA-BURNING SPRINGS&quot;MARTIN MARIETTA-P&quot;"/>
        <s v="MARTIN MARIETTA-CEDARVILLE"/>
        <s v="MARTIN MARIETTA-COOK RD"/>
        <s v="MARTIN MARIETTA-FAIRBORN"/>
        <s v="MARTIN MARIETTA-FAIRFIELD"/>
        <s v="MARTIN MARIETTA-FRANKLIN S&amp;G"/>
        <s v="MARTIN MARIETTA-HAMILTON"/>
        <s v="MARTIN MARIETTA-PETERSBURG"/>
        <s v="MARTIN MARIETTA-PHILLIPSBURG"/>
        <s v="MARTIN MARIETTA-ROSS"/>
        <s v="MARTIN MARIETTA-SHAMROCK"/>
        <s v="MARTIN MARIETTA-TROY"/>
        <s v="MARTIN MARIETTA-WOODVILLE&quot;SHELLY MATLS-PORTAGE&quot;"/>
        <s v="MARTIN MARIETTA-WOODVILLE&quot;SHELLY MATLS-TWINSBURG&quot;"/>
        <s v="MARTIN MARIETTA-WOODVILLE-&quot;SHELLY MATLS-WEST 130TH"/>
        <s v="MARTIN MARIETTA-WOODVILLE&quot;SHELLY-ALLIANCE&quot;"/>
        <s v="MARTIN MARIETTA-XENIA"/>
        <s v="MAR-ZANE MATERIALS - PERRYSVILLE"/>
        <s v="MAR-ZANE MATERIALS - ZANESVILLE"/>
        <s v="MAR-ZANE MATERIALS-HAYDENVILLE"/>
        <s v="MAR-ZANE MATERIALS-LOGAN"/>
        <s v="MAR-ZANE MATERIALS-LOGAN&quot;SHELLY MATLS-LANCASTER&quot;"/>
        <s v="MAR-ZANE MATERIALS-RAVENNA"/>
        <s v="MAR-ZANE MATERIALS-RICHMOND DALE"/>
        <s v="MAR-ZANE MATLS-ZANESVILLE - &quot;SHELLY MATLS-DERWENT&quot;"/>
        <s v="MAR-ZANE#1-ZANESVILLE"/>
        <s v="MAR-ZANE-BARBERTON&quot;NATIONAL L&amp;S-AKRON&quot;"/>
        <s v="MASSILLON MATLS-MASSILLON"/>
        <s v="MASSILLON MATLS-WARMINGTON RD"/>
        <s v="MAYSVILLE MATERIALS-MOUNT PERRY"/>
        <s v="MCDONALD S&amp;G-SPRINGFIELD"/>
        <s v="MCKEE MATERIALS-NELSONVILLE"/>
        <s v="MCKEE MATERIALS-NELSONVILLE #2"/>
        <s v="MECHANICSBURG S&amp;G-MECHANICSBURG"/>
        <s v="MELVIN STONE-BOWERSVILLE"/>
        <s v="MELVIN STONE-CIRCLEVILLE"/>
        <s v="MELVIN STONE-FAIRBORN"/>
        <s v="MELVIN STONE-MELVIN"/>
        <s v="MELVIN STONE-MELVIN &quot;MELVIN STONE-LOGAN&quot;"/>
        <s v="MELVIN STONE-MELVIN &quot;MELVIN STONE-WILMER&quot;"/>
        <s v="MELVIN STONE-MELVIN&quot;MARTIN MARIETTA-KELLOG AVE&quot;"/>
        <s v="MELVIN STONE-MELVIN&quot;MELVIN STONE-KILBY RAIL YARD&quot;"/>
        <s v="MELVIN STONE-MIDDLETOWN"/>
        <s v="MELVIN STONE-OAK HILL"/>
        <s v="MELVIN STONE-PLANO"/>
        <s v="MELVIN STONE-PLANO&quot;DIAMOND STONE-ALBANY&quot;"/>
        <s v="MELVIN STONE-SANDS HILL"/>
        <s v="MELVIN STONE-WILLIAMSPORT"/>
        <s v="MGQ - MAPLE GROVE"/>
        <s v="MGQ-OLD FORT - &quot;SHELLY MATLS-ALLIANCE&quot;"/>
        <s v="MGQ-OLD FORT&quot;SHELLY MATLS-TWINSBURG&quot;"/>
        <s v="MIAMI VIEW MINING-MORROW"/>
        <s v="MILTON MATERIALS-LUDLOW FALLS"/>
        <s v="MJ COATES-SPRING VALLEY"/>
        <s v="MOUNTAIN MATERIALS-BRUSHY CREEK STONE"/>
        <s v="MOUNTAIN MATLS-VALLEY STONE"/>
        <s v="MULZER CR-CAPE SANDY&quot;CINCY BULK TERMINALS&quot;"/>
        <s v="MULZER CR-CAPE SANDY&quot;MAR-ZANE MATERIALS-MARIETTA&quot;"/>
        <s v="MULZER CR-CAPE SANDY&quot;NATIONAL L&amp;S-NEW MARTINSVILLE"/>
        <s v="MULZER CR-CAPE SANDY&quot;OHIO RIVER AGG-MOUNDSVILLE&quot;"/>
        <s v="MULZER CR-CAPE SANDY&quot;SHELLY MATERIALS-GALLIPOLIS&quot;"/>
        <s v="MULZER CR-CAPE SANDY&quot;SHELLY-PRICE INLAND-BELPRE&quot;"/>
        <s v="MULZER CR-CAPE SANDY&quot;SHELLY-SMITH R.M.-MARIETTA&quot;"/>
        <s v="MULZER CR-CHARLESTOWN&quot;MAR-ZANE MATLS-ST. MARY'S&quot;"/>
        <s v="MULZER CR-CHARLESTOWN&quot;NATIONAL L&amp;S-NEW MARTINSVIL&quot;"/>
        <s v="MULZER CR-CHARLESTOWN-&quot;OHIO RIVER AGG-CLARINGTON&quot;"/>
        <s v="MULZER CR-CHARLESTOWN&quot;SHELLY MATLS-GALLIPOLIS&quot;"/>
        <s v="MULZER CR-CHARLESTOWN&quot;SHELLY-PRICE INLAND-BELPRE&quot;"/>
        <s v="MULZER CR-CHARLESTOWN&quot;SIDWELL MATL-BELLAIRE&quot;"/>
        <s v="MULZER CR-CHARLESTOWN&quot;SMITH R.M.-MARIETTA&quot;"/>
        <s v="MULZER-AMSTERDAM&quot;SMITH CONCRETE-MARIETTA&quot;"/>
        <s v="MULZER-CHARLESTOWN&quot;MAR-ZANE MATERIALS-MARIETTA&quot;"/>
        <s v="MULZER-CHARLESTOWN&quot;YAGER MATERIALS-EGYPT VALLEY&quot;"/>
        <s v="MULZER-NEW AMSTERDAM&quot;MAR-ZANE MATERIALS-BENWOOD&quot;"/>
        <s v="MULZER-NEW AMSTERDAM&quot;MAR-ZANE MATERIALS-MARIETTA&quot;"/>
        <s v="MULZER-NEW AMSTERDAM&quot;MAR-ZANE MATLS-ST. MARY'S&quot;"/>
        <s v="MULZER-NEW AMSTERDAM&quot;NATIONAL-NEW MARTINSVILLE&quot;"/>
        <s v="MULZER-NEW AMSTERDAM&quot;PRICE INLAND-BELPRE&quot;"/>
        <s v="MULZER-NEW AMSTERDAM&quot;SHELLY MATLS-GALLIPOLIS&quot;"/>
        <s v="MULZER-NEW AMSTERDAM&quot;SIDWELL MATLS-BELLAIRE AGG&quot;"/>
        <s v="NATIONAL L&amp;S - UPPER SANDUSKY"/>
        <s v="NATIONAL L&amp;S- NEW SOUTH COLUMBUS"/>
        <s v="NATIONAL L&amp;S-BUCKLAND"/>
        <s v="NATIONAL L&amp;S-BUCYRUS"/>
        <s v="NATIONAL L&amp;S-BUCYRUS &quot;NATIONAL L&amp;S-CAMBRIDGE&quot;"/>
        <s v="NATIONAL L&amp;S-BUCYRUS &quot;NATIONAL L&amp;S-COSHOCTON&quot;"/>
        <s v="NATIONAL L&amp;S-BUCYRUS &quot;SHELLY MATLS-PORTAGE&quot;"/>
        <s v="NATIONAL L&amp;S-BUCYRUS&quot;NATIONAL L&amp;S-CANTON&quot;"/>
        <s v="NATIONAL L&amp;S-BUCYRUS&quot;NATIONAL L&amp;S-CLEVELAND&quot;"/>
        <s v="NATIONAL L&amp;S-BUCYRUS&quot;NATIONAL L&amp;S-WOOSTER&quot;"/>
        <s v="NATIONAL L&amp;S-CAREY C5"/>
        <s v="NATIONAL L&amp;S-CAREY C5 &quot;NATIONAL L&amp;S-CADIZ&quot;"/>
        <s v="NATIONAL L&amp;S-CAREY C5 &quot;NATIONAL L&amp;S-CAMBRIDGE&quot;"/>
        <s v="NATIONAL L&amp;S-CAREY C5 &quot;NATIONAL L&amp;S-COSHOCTON&quot;"/>
        <s v="NATIONAL L&amp;S-CAREY C5 &quot;NATIONAL L&amp;S-MARTINS FERRY&quot;"/>
        <s v="NATIONAL L&amp;S-CAREY C5 &quot;NATIONAL L&amp;S-TUSKY&quot;"/>
        <s v="NATIONAL L&amp;S-CAREY C5&quot;NATIONAL L&amp;S-AKRON&quot;"/>
        <s v="NATIONAL L&amp;S-CAREY C6"/>
        <s v="NATIONAL L&amp;S-CAREY C6 &quot;NATIONAL L&amp;S-CADIZ&quot;"/>
        <s v="NATIONAL L&amp;S-CAREY C6 &quot;NATIONAL L&amp;S-CAMBRIDGE&quot;"/>
        <s v="NATIONAL L&amp;S-CAREY C6 &quot;NATIONAL L&amp;S-CLEVELAND&quot;"/>
        <s v="NATIONAL L&amp;S-CAREY C6 &quot;NATIONAL L&amp;S-COSHOCTON&quot;"/>
        <s v="NATIONAL L&amp;S-CAREY C6 &quot;NATIONAL L&amp;S-ERIE,PA&quot;"/>
        <s v="NATIONAL L&amp;S-CAREY C6 &quot;NATIONAL L&amp;S-MARTINS FERRY&quot;"/>
        <s v="NATIONAL L&amp;S-CAREY C6 &quot;NATIONAL L&amp;S-STARK&quot;"/>
        <s v="NATIONAL L&amp;S-CAREY C6 &quot;NATIONAL L&amp;S-TUSKY&quot;"/>
        <s v="NATIONAL L&amp;S-CAREY C6 &quot;NATIONAL L&amp;S-WOOSTER&quot;"/>
        <s v="NATIONAL L&amp;S-CAREY C6&quot;NATIONAL L&amp;S-AKRON&quot;"/>
        <s v="NATIONAL L&amp;S-CAREY C6&quot;NATIONAL L&amp;S-CANTON&quot;"/>
        <s v="NATIONAL L&amp;S-CAREY C6&quot;NATIONAL-NEW MARTINSVILLE&quot;"/>
        <s v="NATIONAL L&amp;S-CHESTERVILLE"/>
        <s v="NATIONAL L&amp;S-DELAWARE"/>
        <s v="NATIONAL L&amp;S-DELAWARE &quot;NATIONAL L&amp;S-CAMBRIDGE&quot;"/>
        <s v="NATIONAL L&amp;S-DELAWARE&quot;NATIONAL L&amp;S-CANTON&quot;"/>
        <s v="NATIONAL L&amp;S-DELAWARE&quot;NATIONAL L&amp;S-CLEVELAND&quot;"/>
        <s v="NATIONAL L&amp;S-DELPHOS"/>
        <s v="NATIONAL L&amp;S-FINDLAY"/>
        <s v="NATIONAL L&amp;S-FINDLAY&quot;NATIONAL L&amp;S-AKRON&quot;"/>
        <s v="NATIONAL L&amp;S-FINDLAY&quot;NATIONAL L&amp;S-CANTON&quot;"/>
        <s v="NATIONAL L&amp;S-FINDLAY&quot;NATIONAL L&amp;S-WOOSTER&quot;"/>
        <s v="NATIONAL L&amp;S-LIMA"/>
        <s v="NATIONAL L&amp;S-MAGNOLIA&quot;NATIONAL L&amp;S-AKRON&quot;"/>
        <s v="NATIONAL L&amp;S-MAGNOLIA&quot;NATIONAL L&amp;S-CANTON&quot;"/>
        <s v="NATIONAL L&amp;S-MAGNOLIA&quot;NATIONAL L&amp;S-COSHOCTON&quot;"/>
        <s v="NATIONAL L&amp;S-MAGNOLIA&quot;NATIONAL L&amp;S-TUSKY VALLEY&quot;"/>
        <s v="NATIONAL L&amp;S-MAGNOLIA&quot;NATIONAL L&amp;S-WOOSTER&quot;"/>
        <s v="NATIONAL L&amp;S-MARION"/>
        <s v="NATIONAL L&amp;S-OTTAWA"/>
        <s v="NATIONAL L&amp;S-RIMER"/>
        <s v="NATIONAL L&amp;S-STRASBURG &quot;NATIONAL L&amp;S CANTON&quot;"/>
        <s v="NATIONAL L&amp;S-STRASBURG&quot;NATIONAL L&amp;S- AKRON&quot;"/>
        <s v="NATIONAL L&amp;S-STRASBURG&quot;NATIONAL L&amp;S-COSHOCTON&quot;"/>
        <s v="NATIONAL L&amp;S-STRASBURG&quot;NATIONAL L&amp;S-WOOSTER&quot;"/>
        <s v="NATIONAL L&amp;S-STRASBURG&quot;NATIONAL-TUSKY VALLEY&quot;"/>
        <s v="NEERS S&amp;G-BELLEFONTAINE"/>
        <s v="NELSON S&amp;G-KINGSVILLE"/>
        <s v="NORTHERN AGG-MINERAL RIDGE"/>
        <s v="NORTHERN KENTUCKY AGG-PETERSBURG"/>
        <s v="OEDER &amp; SONS S&amp;G-LEBANON"/>
        <s v="OHIO ASPHALTIC LIMESTONE-HILLSBORO"/>
        <s v="OLEN CORP-COLUMBUS GRAVEL"/>
        <s v="OLEN CORP-COLUMBUS LIMESTONE"/>
        <s v="OLEN CORP-FREDERICKTOWN"/>
        <s v="OLEN CORP-ST. LOUISVILLE"/>
        <s v="OLEN CORP-UPPER SANDUSKY"/>
        <s v="OLEN CORP-WOOSTER"/>
        <s v="ONTARIO ROCK-ONTARIO &quot;MELVIN STONE-WILMER&quot;"/>
        <s v="ONTARIO ROCK-ONTARIO&quot;LAFARGE-CLEVELAND&quot;"/>
        <s v="ONTARIO ROCK-ONTARIO&quot;MIDWEST TERMINALS-TOLEDO&quot;"/>
        <s v="ONTARIO ROCK-ONTARIO&quot;SHELLY MATLS-CUYAHOGA RD&quot;"/>
        <s v="ONTARIO ROCK-ONTARIO&quot;SHELLY MATLS-GALLIPOLIS&quot;"/>
        <s v="ONTARIO TRAP ROCK &quot;OSBORNE-GRAND RIVER&quot;"/>
        <s v="OSCAR BRUGMAN S&amp;G-MANTUA&quot;OSBORNE MEDINA-MEDINA&quot;"/>
        <s v="OSCAR BRUGMANN S&amp;G -MANTUA"/>
        <s v="OSTER S&amp;G-BOLIVAR"/>
        <s v="OSTER S&amp;G-MASSILLON"/>
        <s v="OSTER S&amp;G-MASSILLON&quot;OSBORNE MEDINA-LODI&quot;"/>
        <s v="OSTER S&amp;G-MASSILLON&quot;OSBORNE MEDINA-MEDINA&quot;"/>
        <s v="PHILLIPS COMPANIES-VANDALIA"/>
        <s v="PHILLIPS-XENIA"/>
        <s v="PHOENIX ASPHALT-MAGNOLIA"/>
        <s v="PHOENIX SERVICES-MARION"/>
        <s v="PHOENIX SERVICES-MINGO JUNCTION"/>
        <s v="PHOENIX SERVICES-MINGO JUNCTION&quot;MAR-ZANE MATERIA&quot;"/>
        <s v="PHOENIX SERVICES-MINGO JUNCTION&quot;MAR-ZANE-WEIRTON&quot;"/>
        <s v="PHOENIX-MAGNOLIA&quot;ACME CO.-N.JACKSON&quot;"/>
        <s v="PIQUA MATERIALS-W. STATLER RD"/>
        <s v="PK CRUSHING &amp; MATLS-AKRON"/>
        <s v="PRECISION AGG-FREMONT"/>
        <s v="PRECISION AGG-PORTAGE"/>
        <s v="R W SIDLEY-THOMPSON"/>
        <s v="RANKIN-PORT COLBORNE&quot;ONTARIO STONE-CLEVELAND&quot;"/>
        <s v="RANKIN-PORT COLBOURNE&quot;PINNEY DOCK-ASHTABULA&quot;"/>
        <s v="RAZOR LAKE S&amp;G-NEWCOMERSTOWN"/>
        <s v="RIVERSIDE&quot;MARTIN MARIETTA-NEW MARTINSVILE&quot;"/>
        <s v="RIVERSIDE&quot;MARTIN MARIETTA-RAVENSWOOD,WVA&quot;"/>
        <s v="RIVERSIDE-BATTLETOWN&quot;MARTIN MARIETA-PARKERSBURG&quot;"/>
        <s v="RIVERSIDE-BATTLETOWN&quot;MARTIN MARIETTA-KELLOGG&quot;"/>
        <s v="RIVERSIDE-BATTLETOWN&quot;MARTIN MARIETTA-PARKERSBURG&quot;"/>
        <s v="RIVERSIDE-BATTLETOWN&quot;MAR-ZANE-BENWOOD&quot;"/>
        <s v="RIVERSIDE-BATTLETOWN&quot;MAR-ZANE-WEIRTON&quot;"/>
        <s v="RIVERSIDE-BATTLETOWN&quot;NATIONAL L&amp;S-NEW MARTINSVILL&quot;"/>
        <s v="RIVERSIDE-BATTLETOWN&quot;OHIO RIVER AGG-MOUNDSVILLE&quot;"/>
        <s v="RIVERSIDE-BATTLETOWN&quot;YAGER MATLS-BEAVERTOWN&quot;"/>
        <s v="RIVERSIDE-BATTLETOWN,KY&quot;M.M.-RAVENSWOOD,WVA&quot;"/>
        <s v="RIVERSIDE-BATTLETOWN,KY&quot;M.M-NEW MARTINSVILLE&quot;"/>
        <s v="RUPP CONSTRUCTION-MARSHALLVILLE"/>
        <s v="RW SIDLEY-KINGSVILLE"/>
        <s v="SEARGENT STONE-CORNING"/>
        <s v="SHELLY MATLS-BELLE CENTER"/>
        <s v="SHELLY MATLS-CHILLICOTHE"/>
        <s v="SHELLY MATLS-CHILLICOTHE&quot;SHELLY MATLS-LANCASTER&quot;"/>
        <s v="SHELLY MATLS-COLUMBUS GR&quot;SHELLY MATLS-LANCASTER&quot;"/>
        <s v="SHELLY MATLS-COLUMBUS GRAVEL"/>
        <s v="SHELLY MATLS-COLUMBUS LIMESTONE"/>
        <s v="SHELLY MATLS-COSHOCTON"/>
        <s v="SHELLY MATLS-COSHOCTON - &quot;SHELLY MATLS_DERWENT&quot;"/>
        <s v="SHELLY MATLS-DRESDEN"/>
        <s v="SHELLY MATLS-E. FULTONHAM"/>
        <s v="SHELLY MATLS-E. FULTONHAM&quot;SHELLY MATLS-LANCASTER&quot;"/>
        <s v="SHELLY MATLS-E.FULTONHAM"/>
        <s v="SHELLY MATLS-E.FULTONHAM - &quot;SHELLY MATLS-DERWENT&quot;"/>
        <s v="SHELLY MATLS-FOREST"/>
        <s v="SHELLY MATLS-LOCKBOURNE"/>
        <s v="SHELLY MATLS-MARBLE CLIFF"/>
        <s v="SHELLY MATLS-OSTRANDER"/>
        <s v="SHELLY MATLS-PORTLAND"/>
        <s v="SHELLY MATLS-PORTLAND&quot;SHELLY MATLS - GALLIPOLIS&quot;"/>
        <s v="SHELLY MATLS-REEDSVILLE"/>
        <s v="SHELLY MATLS-REEDSVILLE&quot;HANSON-CORAOPOLIS YARD&quot;"/>
        <s v="SHELLY MATLS-RENO"/>
        <s v="SHELLY MATLS-RENO&quot;MAR-ZANE MATERIALS-MARIETTA&quot;"/>
        <s v="SHELLY MATLS-SHALERSVILLE N&quot;SHELLY MATLS-MEDINA&quot;"/>
        <s v="SHELLY MATLS-SHALERSVILLE&quot;SHELLY MATLS-CUYAHOGA R&quot;"/>
        <s v="SHELLY MATLS-SHALERSVILLE&quot;SHELLY MATLS-WEST 130TH&quot;"/>
        <s v="SHELLY MATLS-SPRINGFIELD"/>
        <s v="SHELLY MATLS-ST. LOUISVILLE"/>
        <s v="SHELLY MATLS-STREETSBORO"/>
        <s v="SHELLY MATLS-WILLOW ISLAND -&quot;SHELLY MATLS-DERWENT&quot;"/>
        <s v="SHELLY MATLS-YORK CENTER"/>
        <s v="SIDWELL MATERIALS-BLAINE AGGREGATES"/>
        <s v="SIDWELL MATERIALS-MIDVALE"/>
        <s v="SIDWELL MATERIALS-STANDING STONE"/>
        <s v="SIDWELL MATERIALS-UNIONTOWN STONE"/>
        <s v="SIDWELL MATL-MIDVALE S&amp;G&quot;SIDWELL MATL- BELLAIRE&quot;"/>
        <s v="SIMAK TRUCKING &amp; EXCAVATING-NORTH KINGSVILLE"/>
        <s v="SLIPPERY ROCK MATERIALS - VOLANT"/>
        <s v="SMALLS S&amp;G-GAMBIER"/>
        <s v="SMELTER BAY SAND&quot;OSBORNE-GRAND RIVER&quot;"/>
        <s v="SMELTER SD-THEESSALON&quot;LAFARGE-TERMINAL DOCK&quot;"/>
        <s v="SMELTER SD-THESSALON&quot;OSBORNE-CLEVELAND&quot;"/>
        <s v="SMELTER SD-THESSALON&quot;SHELLY MATLS-CUYAHOGA RD&quot;"/>
        <s v="SOBER S&amp;G-ROOTSTOWN"/>
        <s v="SOEHNLEN BROS S&amp;G-BEACH CITY"/>
        <s v="SOLOMON MINES-SOLOMON"/>
        <s v="SOUTH CENTRAL S&amp;G - PIKETON"/>
        <s v="SOUTHERN OHIO AGG-CLEVES"/>
        <s v="STAFFORD GRAVEL-BUTLER"/>
        <s v="STANSLEY-GENOA&quot;STONECO-MAUMEE&quot;"/>
        <s v="STEIN - CLEVELAND SLAG"/>
        <s v="STOCKER S&amp;G-GNADENHUTTEN"/>
        <s v="STOCKER S&amp;G-GNADENHUTTEN&quot;OHIO RIVER AGG-MOUNDSVIL&quot;"/>
        <s v="STOCKER S&amp;G-PT.WASHINGTON"/>
        <s v="STOCKER S&amp;G-PT.WASHINGTON&quot;MAR-ZANE MATERIALS-BEN&quot;"/>
        <s v="STOCKER S&amp;G-PT.WASHINGTON&quot;MAR-ZANE MATERIALS-BETH&quot;"/>
        <s v="STOCKER S&amp;G-PT.WASHINGTON&quot;MAR-ZANE-WEIRTON, WV&quot;"/>
        <s v="STOCKER-PT. WASHINGTON&quot;MAR-ZANE-BYESVILLE&quot;"/>
        <s v="STONE STREET QUARRIES - POE"/>
        <s v="STONE STREET QUARRIES-HAYNES S&amp;G"/>
        <s v="STONECO ALLIED CORP-PETERSBURG"/>
        <s v="STONECO OF MICHIGAN-ANN ARBOR"/>
        <s v="STONECO OF MICHIGAN-MOSCOW"/>
        <s v="STONECO OF MICHIGAN-MOSCOW&quot;STONECO-OTTAWA LAKE&quot;"/>
        <s v="STONECO OF MICHIGAN-OTTAWA LAKE"/>
        <s v="STONECO OF MICHIGAN-ZEEB"/>
        <s v="STONECO OF MICHIGAN-ZEEB &quot;STONECO-OTTAWA LAKE&quot;"/>
        <s v="STONECO-AUGLAIZE"/>
        <s v="STONECO-CELINA"/>
        <s v="STONECO-CLAY CENTER"/>
        <s v="STONECO-CLAY CENTER- &quot;SHELLY MATLS-WEST 130TH&quot;"/>
        <s v="STONECO-CLAY CENTER&quot;SHELLY MATLS-ALLIANCE&quot;"/>
        <s v="STONECO-CLAY CENTER&quot;SHELLY MATLS-COPLEY&quot;"/>
        <s v="STONECO-CLAY CENTER&quot;SHELLY MATLS-PORTAGE&quot;"/>
        <s v="STONECO-CLAY CENTER&quot;SHELLY MATLS-TWINSBURG&quot;"/>
        <s v="STONECO-MAUMEE"/>
        <s v="STONECO-PORTAGE"/>
        <s v="STONECO-SCOTT"/>
        <s v="STONECO-WYANDOT DOLOMITE&quot;SHELLY MATLS-MEDINA&quot;"/>
        <s v="SUBTROPILIS-PETERSBURG&quot;MAR-ZANE-WEIRTON, WV&quot;"/>
        <s v="SUBTROPOLIS MINING-PETERSBURG"/>
        <s v="SUBTROPOLIS MINING-PETERSBURG&quot;ACME CO-N.JACKSON&quot;"/>
        <s v="SUFFIELD AGG-MOGADORE"/>
        <s v="THREE RIVERS AGGREGATES - BLACK RUN"/>
        <s v="THREE RIVERS AGGREGATES-SLIPPERY ROCK"/>
        <s v="THREE RIVERS AGGREGATE-WAMPUM QUARRY"/>
        <s v="TIGER S&amp;G-MASSILLON"/>
        <s v="TIGER S&amp;G-MASSILLON&quot;ACME CO-N. JACKSON&quot;"/>
        <s v="TOW PATH MATERIALS - CHILLICOTHE"/>
        <s v="TOW PATH-FRANKFORT"/>
        <s v="TOW PATH-LUCASVILLE"/>
        <s v="TUFFCO S&amp;G-PLAIN CITY"/>
        <s v="U.S. AGGREGATES-PLEASANT MILLS"/>
        <s v="U.S. AGGREGATES-PORTLAND"/>
        <s v="U.S. AGGREGATES-RICHMOND"/>
        <s v="U.S. AGGREGATES-RIDGEVILLE"/>
        <s v="UNITED AGG-DANVILLE"/>
        <s v="UNITED AGG-MT.VERNON"/>
        <s v="URBANA MATLS-MUZZY RD"/>
        <s v="VALLEY ASPHALT-SHARONVILLE"/>
        <s v="WALLS MATERIALS-FT. JEFFERSON"/>
        <s v="WATSON GRAVEL-EDGEWATER"/>
        <s v="WATSON GRAVEL-HARRISON"/>
        <s v="WATSON GRAVEL-MIDDLETOWN"/>
        <s v="WATSON GRAVEL-ROSS"/>
        <s v="WEBER MATERIALS-ST MARYS"/>
        <s v="WEBER S&amp;G-EDGERTON"/>
        <s v="WEIDLE S&amp;G-GERMANTOWN"/>
        <s v="WELCH S&amp;G-ROSS"/>
        <s v="WESTFALL AGG &amp; MATLS-HILL ROAD"/>
        <s v="WILLIAM ALBERT-COSHOCTON"/>
        <s v="WYANDOT-CAREY"/>
        <s v="WYANDOT-CAREY - &quot;SHELLY MATLS-ALLIANCE&quot;"/>
        <s v="WYANDOT-CAREY - &quot;SHELLY MATLS-DERWENT&quot;"/>
        <s v="WYANDOT-CAREY - &quot;SHELLY MATLS-WEST 130TH&quot;"/>
        <s v="WYANDOT-CAREY&quot;CITY STONE-ROUTE 45&quot;"/>
        <s v="WYANDOT-CAREY&quot;CITY STONE-YOUNGSTOWN&quot;"/>
        <s v="WYANDOT-CAREY&quot;OSBORNE MEDINA-MEDINA&quot;"/>
        <s v="WYANDOT-CAREY&quot;SHELLY MATLS-COPLEY&quot;"/>
        <s v="WYANDOT-CAREY&quot;SHELLY-PORTAGE&quot;"/>
        <s v="WYLIE &amp; SONS LANDSCAPING-PERRYSBURG"/>
        <s v="WYSONG GRAVEL-CAMDEN"/>
        <s v="WYSONG GRAVEL-W.ALEXANDRIA"/>
        <s v="XL S&amp;G-NEGLEY"/>
        <s v="YAGER MATLS-OWENSBORO&quot;MAR-ZANE MATLS-BENWOOD&quot;"/>
        <s v="YAGER MATLS-OWENSBOROR&quot;MAR-ZANE-WEIRTON&quot;"/>
        <s v="YOUNGS S&amp;G-LOUDENVILLE&quot;OSBORNE-MEDINA-MEDINA&quot;"/>
        <s v="YOUNGS S&amp;G-LOUDONVILLE"/>
      </sharedItems>
    </cacheField>
    <cacheField name="PRODR_SUPP_NM2" numFmtId="0">
      <sharedItems count="544">
        <s v="ALLEGA-CLEVELAND"/>
        <s v="ALLEGA-PAINESVILLE"/>
        <s v="ALLEGA-RICHFIELD"/>
        <s v="ALLEGA-VALLEY VIEW"/>
        <s v="ALLEGA-VROOMAN RD"/>
        <s v="ALLEGHENY MINERAL-HARRISVILLE"/>
        <s v="ALLEGHENY MINERAL-PRINCETON"/>
        <s v="ALLEGHENY MINERAL-SLIPPERY ROCK"/>
        <s v="ALLIED CORP-MASSILLON"/>
        <s v="ALLIED CORP-MASSILLON&quot;SHELLY MATLS-COPLEY&quot;"/>
        <s v="ALLIED CORP-MASSILLON&quot;SHELLY MATLS-CUYAHOGA RD&quot;"/>
        <s v="ALLIED CORP-MASSILLON&quot;SHELLY MATLS-MEDINA&quot;"/>
        <s v="ALLIED CORP-PETERSBURG - &quot;SHELLY MATLS-ALLIANCE&quot;"/>
        <s v="ALLIED-MASSILLON - &quot;SHELLY MATLS-WEST 130TH&quot;"/>
        <s v="ALLIED-PETERSBURG - &quot;SHELLY MATLS-WEST 130TH&quot;"/>
        <s v="AMERICAN S&amp;G-HIGH MILL PlANT #6"/>
        <s v="AMERICAN S&amp;G-MASSILLON"/>
        <s v="AMERICAN S&amp;G-MASSILLON&quot;SHELLY MATLS-MEDINA&quot;"/>
        <s v="AMERIKOHL AGGREGATES - GARDNER QUARRY"/>
        <s v="AMERIKOHL AGGREGATES-MCMILLIN"/>
        <s v="AMERIKOHL AGGREGATES-MOSCIPAN QUARRY"/>
        <s v="ARCH MATERIALS-BATAVIA"/>
        <s v="AREA AGG-WOODVILLE"/>
        <s v="AREA AGG-WOODVILLE&quot;AREA AGG-COLLINWOOD&quot;"/>
        <s v="AURORA AGGREGATE SUPPLY-RAINBOW S&amp;G"/>
        <s v="BALLENTINE S&amp;G LLC-RAVENNA"/>
        <s v="BARRETT PAVING MATLS-HARDIN"/>
        <s v="BARRETT PAVING MATLS-MIAMI RIVER STONE"/>
        <s v="BARRETT PAVING MATLS-W.CARROLLTON"/>
        <s v="BARRETT PAVING-FAIRBORN"/>
        <s v="BARRETT PAVING-LUDLOW FALLS"/>
        <s v="BARRETT PAVING-RICHMOND"/>
        <s v="BECK S&amp;G-RAVENNA"/>
        <s v="BELPRE S&amp;G-LITTLE HOCKING"/>
        <s v="BELPRE S&amp;G-LITTLE HOCKING&quot;MAR-ZANE MATLS-MARIETTA&quot;"/>
        <s v="BELPRE SD&amp;GR-LITTLE HOCKING&quot;M.M.-NEW MARTINSVILLE&quot;"/>
        <s v="BELPRE SD&amp;GR-LITTLE HOCKING&quot;M.M.-RAVENSWOOD&quot;"/>
        <s v="BELPRE SD&amp;GR-LITTLE HOCKING&quot;MARTIN MARIETTA-PARKE&quot;"/>
        <s v="BEST SAND-CHARDON"/>
        <s v="BRIER HILL SLAG-YOUNGSTOWN"/>
        <s v="BROOKSIDE MATERIALS - BROOKSIDE"/>
        <s v="C.F. POEPPELMAN-BRADFORD"/>
        <s v="CARDINAL AGG-PERRYSBURG"/>
        <s v="CARMEUSE CEDARVILLE&quot;PINNEY DOCK-ASHTABULA&quot;"/>
        <s v="CARMEUSE&quot;MARTIN MARIETA-RAVENSWOOD,WVA&quot;"/>
        <s v="CARMEUSE-BLACK RIVER&quot;M.M.-NEW MARTINSVILE WV YARD&quot;"/>
        <s v="CARMEUSE-BLACK RIVER&quot;MARTIN MARIETTA-KELLOGG&quot;"/>
        <s v="CARMEUSE-BLACK RIVER&quot;MARTIN MARIETTA-PARKERSBURG&quot;"/>
        <s v="CARMEUSE-CALCITE&quot;ONTARIO STONE-CLEVELAND&quot;"/>
        <s v="CARMEUSE-CALCITE&quot;P&amp;C DOCK-CONNEAUT&quot;"/>
        <s v="CARMEUSE-CEDARVILLE &quot;CARMEUSE-ERIE DOCK&quot;"/>
        <s v="CARMEUSE-CEDARVILLE&quot;ONTARIO STONE-CLEVELAND&quot;"/>
        <s v="CARMEUSE-CEDARVILLE&quot;OSBORNE-GRAND RIVER&quot;"/>
        <s v="CARMEUSE-CEDARVILLE&quot;P&amp;C DOCK-CONNEAUT&quot;"/>
        <s v="CARMEUSE-CEDARVILLE&quot;SHELLY MATLS-CUYAHOGA RD&quot;"/>
        <s v="CARMEUSE-MAYSVILLE&quot;EATON ASPHALT-MAYSVILLE,KY&quot;"/>
        <s v="CARMEUSE-MAYSVILLE&quot;MARTIN MARIETTA-KELLOGG&quot;"/>
        <s v="CARMEUSE-MAYSVILLE&quot;MARTIN MARIETTA-PARKERSBURG&quot;"/>
        <s v="CARMEUSE-MAYSVILLE&quot;MARTIN MAR-NEW MARTINSVILLE&quot;"/>
        <s v="CARMEUSE-MAYSVILLE&quot;MARTIN MAR-RAVENSWOOD,WVA&quot;"/>
        <s v="CARMEUSE-MAYSVILLE&quot;MAR-ZANE MATERIALS-BENWOOD&quot;"/>
        <s v="CARMEUSE-MAYSVILLE&quot;MAR-ZANE-WEIRTON&quot;"/>
        <s v="CARMEUSE-MAYSVILLE&quot;NATIONAL L&amp;S-NEW MARTINSVILLE&quot;"/>
        <s v="CARMEUSE-MAYSVILLE&quot;OHIO RIVER AGG - CLARINGTON&quot;"/>
        <s v="CARMEUSE-MAYSVILLE&quot;YAGER MATERIALS-EGYPT VALLEY&quot;"/>
        <s v="CARMEUSE-MAYSVILLE&quot;YAGER MATLS-BEAVERTOWN&quot;"/>
        <s v="CARMEUSE-PT.INLAND&quot;ONTARIO STONE-CLEVELAND&quot;"/>
        <s v="CARMEUSE-PT.INLAND&quot;OSBORNE CLEVELAND YARD&quot;"/>
        <s v="CARMEUSE-PT.INLAND&quot;OSBORNE-GRAND RIVER&quot;"/>
        <s v="CARMEUSE-PT.INLAND&quot;P&amp;C DOCK-CONNEAUT&quot;"/>
        <s v="CARMEUSE-PT.INLAND&quot;PINNEY DOCK-ASHTABULA&quot;"/>
        <s v="CARMUESE-BLACK RIVER&quot;M.M.-RAVENSWOOD,WV YARD&quot;"/>
        <s v="CARMUESE-CALCITE&quot;PINNEY DOCK-ASHTABULA&quot;"/>
        <s v="CENTRAL-ALLIED ENTERPRISE-MASSILLON"/>
        <s v="CENTRAL-ALLIED ENTERPRISES-CANTON AGGREGATE"/>
        <s v="CHRISTMAN QUARRY-SWAZEY ROAD"/>
        <s v="CITY SLAG-HERMITAGE"/>
        <s v="CITY STONE-MILTON TOWNSHIP"/>
        <s v="CLARK CLAY - NEWCOMERSTOWN"/>
        <s v="CLEVELAND SLAG-CLEVELAND&quot;ACME CO.-N.JACKSON&quot;"/>
        <s v="CLEVELAND SLAG-CLEVELAND&quot;SHELLY MATLS-CUYAHOGA RD&quot;"/>
        <s v="CORE AGGREGATES-KENT"/>
        <s v="CUMBERLAND LIMESTONE-CUMBERLAND"/>
        <s v="D&amp;K MATLS-MOGADORE"/>
        <s v="DOREN-TAYLOR"/>
        <s v="DRUMMOND ISLE STONE&quot;OSBORNE-CLEVELAND&quot;"/>
        <s v="DRUMMOND ISLE STONE&quot;OSBORNE-FAIRPORT&quot;"/>
        <s v="DRUMMOND ISLE STONE-DRUMMOND&quot;LAFARGE-CLEVELAND&quot;"/>
        <s v="DUFF QUARRY-HUNTSVILLE"/>
        <s v="EAGLE MATERIALS-GERMANTOWN"/>
        <s v="EAST FAIRFIELD COAL-HONEY CREEK"/>
        <s v="EAST FAIRFIELD-PETERSBURG&quot;ACME CO.-N.JACKSON&quot;"/>
        <s v="ELKO AGGREGATE-GUYSVILLE"/>
        <s v="ELKO AGGREGATE-WELLSTON"/>
        <s v="ENON S&amp;G-ENON"/>
        <s v="ERIE MATLS-SANDUSKY"/>
        <s v="ERIE MATLS-SANDUSKY - &quot;SHELLY MATLS-ALLIANCE&quot;"/>
        <s v="ERIE MATLS-SANDUSKY &quot;SHELLY MATLS-TWINSBURG&quot;"/>
        <s v="ERVIN HILL-HILLSBORO"/>
        <s v="EVANS S&amp;G-MT CARMEL"/>
        <s v="FEIKERT S&amp;G-FREDERICKSBURG"/>
        <s v="FOUREMANS S&amp;G-GREENVILLE"/>
        <s v="FULTON MILL-DELTA"/>
        <s v="GENOA LIMESTONE-GENOA"/>
        <s v="GERKEN CO - GLACIAL S&amp;G&quot;GERKEN CO - SYLVANIA&quot;"/>
        <s v="GERKEN CO-BLUFFTON"/>
        <s v="GERKEN CO-CLINTON"/>
        <s v="GERKEN CO-CUSTAR STONE"/>
        <s v="GERKEN CO-CUSTAR STONE&quot;GERKEN CO-PIONEER&quot;"/>
        <s v="GERKEN CO-GLACIAL S&amp;G"/>
        <s v="GERKEN CO-GLACIAL S&amp;G&quot;GERKEN CO-PIONEER&quot;"/>
        <s v="GERKEN CO-HILLSDALE S&amp;G"/>
        <s v="GERKEN CO-ROUND LAKE S&amp;G"/>
        <s v="GERKEN CO-TECUMSEH"/>
        <s v="GERKEN CO-TECUMSEH&quot;GERKEN CO-SYLVANIA&quot;"/>
        <s v="GERKEN CO-WEST MILLGROVE STONE"/>
        <s v="GERKEN CO-WEST MILLGROVE&quot;GERKEN CO-STONY RIDGE&quot;"/>
        <s v="GREER-MORGANTOWN,WV&quot;MAR-ZANE MATERIALS-BETHESDA&quot;"/>
        <s v="HAYDON MATLS-BATTLETOWN&quot;NATIONAL L&amp;S-WILLIAMTOWN&quot;"/>
        <s v="HAYDON MATLS-BATTLETOWN&quot;NATIONAL-NEW MARTINSVILLE&quot;"/>
        <s v="HAYDON MATLS-BATTLETOWN&quot;YAGER MATLS-BEAVERTOWN&quot;"/>
        <s v="HILLTOP BASIC-BIG BEND&quot;HILLTOP BASIC-DOWNTOWN CIN&quot;"/>
        <s v="HILLTOP BASIC-BIG BEND&quot;HILLTOP BASIC-E.CINCINNATI&quot;"/>
        <s v="HILLTOP BASIC-BIG BEND&quot;NATIONAL L&amp;S-NEW MARTINSV&quot;"/>
        <s v="HILLTOP BASIC-BIG BEND&quot;NATIONAL L&amp;S-WILLIAMSTOWN&quot;"/>
        <s v="HILLTOP BASIC-BIG BEND&quot;OHIO RIVER AGG-MOUNDSVILLE&quot;"/>
        <s v="HILLTOP BASIC-BUTLER"/>
        <s v="HILLTOP BASIC-BUTLER&quot;HILLTOP BASIC-DOWNTOWN CINCI&quot;"/>
        <s v="HILLTOP BASIC-BUTLER&quot;HILLTOP BASIC-E.CINCINNATI R&quot;"/>
        <s v="HILLTOP BASIC-BUTLER&quot;MARTIN MARIETTA-KELLOGG&quot;"/>
        <s v="HILLTOP BASIC-BUTLER&quot;MARTIN MARIETTA-PARKERSBURG&quot;"/>
        <s v="HILLTOP BASIC-PATRIOT&quot;HILLTOP BASIC- E.CINCINNATI&quot;"/>
        <s v="HILLTOP BASIC-PATRIOT&quot;HILLTOP BASIC-DOWNTOWN CIN&quot;"/>
        <s v="HILLTOP BASIC-PATRIOT&quot;HILLTOP BASIC-DOWNTOWN CINC&quot;"/>
        <s v="HOCKING VALLEY CONCRETE-LOGAN"/>
        <s v="HOLMES READYMIX CONCRETE-MILLERSBURG"/>
        <s v="HOLMES REDIMIX CONCRETE-MILLERSBURG"/>
        <s v="HOLMES SUPPLY-HOLMESVILLE"/>
        <s v="HUGO SAND-HUGO"/>
        <s v="INDEPENDENCE EXCAVATING-CLEVELAND"/>
        <s v="IRVING MATERIALS-CAMBRIDGE CITY"/>
        <s v="IRVING MATERIALS-CONNERSVILLE"/>
        <s v="IRVING S&amp;G - ANGOLA"/>
        <s v="IRVING S&amp;G-HENSCHEN"/>
        <s v="JEFFERSON-STREETSBORO - &quot;SHELLY MATLS-WEST 130TH&quot;"/>
        <s v="K.C.I. S&amp;G-LOGAN"/>
        <s v="KIMBLE CLAY &amp; LS - SLANKARD"/>
        <s v="KIMBLE CLAY &amp; LS-DOVER"/>
        <s v="KING QUARRIES-CALDWELL"/>
        <s v="KIRBY S&amp;G-U.SANDUSKY"/>
        <s v="L&amp;K STONE - BELPRE"/>
        <s v="LAFARGE-DUQUESNE"/>
        <s v="LAFARGE-MANITOULIN&quot;LAFARGE-CLEVELAND&quot;"/>
        <s v="LAFARGE-MANITOULIN&quot;LAFARGE-RIVER DOCK&quot;"/>
        <s v="LAFARGE-MANITOULIN&quot;LAFARGE-TERMINAL DOCK&quot;"/>
        <s v="LAFARGE-MANITOULIN&quot;OSBORNE-CLEVELAND&quot;"/>
        <s v="LAFARGE-MANITOULIN&quot;RW SIDLEY-ASHTABULA&quot;"/>
        <s v="LAFARGE-MANITOULIN&quot;RW SIDLEY-GRAND RIVER&quot;"/>
        <s v="LAFARGE-MANITOULIN&quot;SHELLY MATLS-CUYAHOGA RD&quot;"/>
        <s v="LAFARGE-MARBLEHEAD"/>
        <s v="LAFARGE-MARBLEHEAD &quot;LAFARGE-CLEVELAND&quot;"/>
        <s v="LAFARGE-MARBLEHEAD &quot;ONTARIO STONE-CLEVELAND&quot;"/>
        <s v="LAFARGE-MARBLEHEAD &quot;OSBORNE-CLEVELAND&quot;"/>
        <s v="LAFARGE-MARBLEHEAD &quot;OSBORNE-GRAND RIVER&quot;"/>
        <s v="LAFARGE-MARBLEHEAD&quot;LAFARGE-RIVER DOCK&quot;"/>
        <s v="LAFARGE-MARBLEHEAD&quot;LAFARGE-TERMINAL DOCK&quot;"/>
        <s v="LAFARGE-MARBLEHEAD&quot;RW SIDLEY-ASHTABULA&quot;"/>
        <s v="LAFARGE-MARBLEHEAD&quot;RW SIDLEY-GRAND RIVER&quot;"/>
        <s v="LAFARGE-MARBLEHEAD&quot;SHELLY MATLS-CUYAHOGA RD.&quot;"/>
        <s v="LAFARGE-PAULDING"/>
        <s v="LAFARGE-PRESQUE ISLE&quot;LAFARGE-CLEVELAND&quot;"/>
        <s v="LAFARGE-PRESQUE ISLE&quot;LAFARGE-RIVER DOCK&quot;"/>
        <s v="LAFARGE-PRESQUE ISLE&quot;LAFARGE-TERMINAL DOCK&quot;"/>
        <s v="LAFARGE-PRESQUE ISLE&quot;OSBORNE-CLEVELAND&quot;"/>
        <s v="LAFARGE-PRESQUE ISLE&quot;OSBORNE-FAIRPORT&quot;"/>
        <s v="LAKESIDE S&amp;G-SHALERSVILLE"/>
        <s v="LAKESIDE S&amp;G-SHALERSVILLE&quot;ACME CO-N. JACKSON&quot;"/>
        <s v="LAKESIDE S&amp;G-SHALERSVILLE&quot;LAFARGE - CLEVELAND&quot;"/>
        <s v="LATHAM LIMESTONE-LATHAM"/>
        <s v="LATHAM LIMESTONE-LATHAM&quot;DIAMOND STONE-ALBANY&quot;"/>
        <s v="LATHAM LIMESTONE-LATHAM&quot;LATHAM LIMESTONE-OAK HILL&quot;"/>
        <s v="LEHIGH HANSON - SPRINGFIELD PIKE"/>
        <s v="LEHIGH HANSON - WAGNER&quot;JAB SUPPLY CORP-WICKLIFFE&quot;"/>
        <s v="LEHIGH HANSON-ANGOLA, IN"/>
        <s v="LEHIGH HANSON-BESSEMER"/>
        <s v="LEHIGH HANSON-BLOOMVILLE"/>
        <s v="LEHIGH HANSON-CLEVES"/>
        <s v="LEHIGH HANSON-CLEVES&quot;LEHIGH HANSON-BATAVIA&quot;"/>
        <s v="LEHIGH HANSON-GRAYSON"/>
        <s v="LEHIGH HANSON-PEEBLES"/>
        <s v="LEHIGH HANSON-PEEBLES&quot;LEHIGH HANSON-BATAVIA&quot;"/>
        <s v="LEHIGH HANSON-SANDUSKY"/>
        <s v="LEHIGH HANSON-SANDUSKY&quot;&quot;JAB SUPPLY CORP-WICKLIFFE&quot;"/>
        <s v="LEHIGH HANSON-SANDUSKY&quot;JAB SUPPLY CORP-WICKLIFFE&quot;"/>
        <s v="LEHIGH HANSON-SANDUSKY&quot;NATIONAL L&amp;S-CANTON&quot;"/>
        <s v="LEHIGH HANSON-SANDUSKY&quot;NATIONAL L&amp;S-MARTINS FERRY&quot;"/>
        <s v="LEHIGH HANSON-SANDUSKY&quot;NATIONAL L&amp;S-STARK&quot;"/>
        <s v="LEHIGH HANSON-SANDUSKY&quot;OSBORNE MEDINA-LODI&quot;"/>
        <s v="LEHIGH HANSON-SANDUSKY&quot;OSBORNE MEDINA-MEDINA&quot;"/>
        <s v="LEHIGH HANSON-SANDUSKY&quot;OSBORNE-CLEVELAND&quot;"/>
        <s v="LEHIGH HANSON-SANDUSKY&quot;OSBORNE-DARROW RD&quot;"/>
        <s v="LEHIGH HANSON-SANDUSKY&quot;SHELLY MATLS-COPLEY &quot;"/>
        <s v="LEHIGH HANSON-SANDUSKY&quot;SHELLY MATLS-PORTAGE&quot;"/>
        <s v="LEHIGH HANSON-SANDUSKY&quot;SHELLY MATLS-WEST 130TH&quot;"/>
        <s v="LEHIGH HANSON-SARGENTS"/>
        <s v="LEHIGH HANSON-SPRINGFIELD PIKE &quot; SWANK YARD&quot;"/>
        <s v="LEHIGH HANSON-SYLVANIA"/>
        <s v="LEHIGH HANSON-VERSAILLES"/>
        <s v="LEHIGH HANSON-WAGNER"/>
        <s v="LEHIGH HANSON-WAGNER &quot;SHELLY MATLS-TWINSBURG&quot;"/>
        <s v="LEHIGH HANSON-WAGNER&quot;OSBORNE MEDINA-MEDINA&quot;"/>
        <s v="LEHIGH HANSON-WAGNER&quot;OSBORNE-DARROW RD&quot;"/>
        <s v="LEHIGH HANSON-WAGNER&quot;SHELLY MATLS-ALLIANCE&quot;"/>
        <s v="LEHIGH HANSON-WAGNER&quot;SHELLY MATLS-COPLEY&quot;"/>
        <s v="LEHIGH HANSON-WATERVILLE"/>
        <s v="LEHIGH HANSON-WINCHESTER"/>
        <s v="LEHIGH HANSON-WINCHESTER&quot;LEHIGH HANSON-BATAVIA&quot;"/>
        <s v="LEHIGH HANSON-WOODBURN,IN"/>
        <s v="LETART-GALLIPOLIS,WV"/>
        <s v="MARTIN MARIETTA- E-TOWN S&amp;G"/>
        <s v="MARTIN MARIETTA-APPLE GROVE"/>
        <s v="MARTIN MARIETTA-APPLE GROVE&quot;M.M.-NEW MARTINSVILLE&quot;"/>
        <s v="MARTIN MARIETTA-APPLE GROVE&quot;MARTIN MARIETTA-PARKE&quot;"/>
        <s v="MARTIN MARIETTA-APPLE GROVE&quot;MARTIN MAR-RAVENSWOOD&quot;"/>
        <s v="MARTIN MARIETTA-BURNIGN SPRI&quot;M.M.-NEW MARTINSVILE&quot;"/>
        <s v="MARTIN MARIETTA-BURNIGN SPRIN&quot;M.M.-RAVENSWOOD,WVA&quot;"/>
        <s v="MARTIN MARIETTA-BURNING SPRINGS"/>
        <s v="MARTIN MARIETTA-BURNING SPRINGS&quot;MARTIN MARIETTA-P&quot;"/>
        <s v="MARTIN MARIETTA-CEDARVILLE"/>
        <s v="MARTIN MARIETTA-COOK RD"/>
        <s v="MARTIN MARIETTA-FAIRBORN"/>
        <s v="MARTIN MARIETTA-FAIRFIELD"/>
        <s v="MARTIN MARIETTA-FRANKLIN S&amp;G"/>
        <s v="MARTIN MARIETTA-HAMILTON"/>
        <s v="MARTIN MARIETTA-PETERSBURG"/>
        <s v="MARTIN MARIETTA-PHILLIPSBURG"/>
        <s v="MARTIN MARIETTA-ROSS"/>
        <s v="MARTIN MARIETTA-SHAMROCK"/>
        <s v="MARTIN MARIETTA-TROY"/>
        <s v="MARTIN MARIETTA-WOODVILLE&quot;SHELLY MATLS-PORTAGE&quot;"/>
        <s v="MARTIN MARIETTA-WOODVILLE&quot;SHELLY MATLS-TWINSBURG&quot;"/>
        <s v="MARTIN MARIETTA-WOODVILLE-&quot;SHELLY MATLS-WEST 130TH"/>
        <s v="MARTIN MARIETTA-WOODVILLE&quot;SHELLY-ALLIANCE&quot;"/>
        <s v="MARTIN MARIETTA-XENIA"/>
        <s v="MAR-ZANE MATERIALS - PERRYSVILLE"/>
        <s v="MAR-ZANE MATERIALS - ZANESVILLE"/>
        <s v="MAR-ZANE MATERIALS-HAYDENVILLE"/>
        <s v="MAR-ZANE MATERIALS-LOGAN"/>
        <s v="MAR-ZANE MATERIALS-LOGAN&quot;SHELLY MATLS-LANCASTER&quot;"/>
        <s v="MAR-ZANE MATERIALS-RAVENNA"/>
        <s v="MAR-ZANE MATERIALS-RICHMOND DALE"/>
        <s v="MAR-ZANE MATLS-ZANESVILLE - &quot;SHELLY MATLS-DERWENT&quot;"/>
        <s v="MAR-ZANE#1-ZANESVILLE"/>
        <s v="MAR-ZANE-BARBERTON&quot;NATIONAL L&amp;S-AKRON&quot;"/>
        <s v="MASSILLON MATLS-MASSILLON"/>
        <s v="MASSILLON MATLS-WARMINGTON RD"/>
        <s v="MAYSVILLE MATERIALS-MOUNT PERRY"/>
        <s v="MCDONALD S&amp;G-SPRINGFIELD"/>
        <s v="MCKEE MATERIALS-NELSONVILLE"/>
        <s v="MCKEE MATERIALS-NELSONVILLE #2"/>
        <s v="MECHANICSBURG S&amp;G-MECHANICSBURG"/>
        <s v="MELVIN STONE-BOWERSVILLE"/>
        <s v="MELVIN STONE-CIRCLEVILLE"/>
        <s v="MELVIN STONE-FAIRBORN"/>
        <s v="MELVIN STONE-MELVIN"/>
        <s v="MELVIN STONE-MELVIN &quot;MELVIN STONE-LOGAN&quot;"/>
        <s v="MELVIN STONE-MELVIN &quot;MELVIN STONE-WILMER&quot;"/>
        <s v="MELVIN STONE-MELVIN&quot;MARTIN MARIETTA-KELLOG AVE&quot;"/>
        <s v="MELVIN STONE-MELVIN&quot;MELVIN STONE-KILBY RAIL YARD&quot;"/>
        <s v="MELVIN STONE-MIDDLETOWN"/>
        <s v="MELVIN STONE-OAK HILL"/>
        <s v="MELVIN STONE-PLANO"/>
        <s v="MELVIN STONE-PLANO&quot;DIAMOND STONE-ALBANY&quot;"/>
        <s v="MELVIN STONE-SANDS HILL"/>
        <s v="MELVIN STONE-WILLIAMSPORT"/>
        <s v="MGQ - MAPLE GROVE"/>
        <s v="MGQ-OLD FORT - &quot;SHELLY MATLS-ALLIANCE&quot;"/>
        <s v="MGQ-OLD FORT&quot;SHELLY MATLS-TWINSBURG&quot;"/>
        <s v="MIAMI VIEW MINING-MORROW"/>
        <s v="MILTON MATERIALS-LUDLOW FALLS"/>
        <s v="MJ COATES-SPRING VALLEY"/>
        <s v="MOUNTAIN MATERIALS-BRUSHY CREEK STONE"/>
        <s v="MOUNTAIN MATLS-VALLEY STONE"/>
        <s v="MULZER CR-CAPE SANDY&quot;CINCY BULK TERMINALS&quot;"/>
        <s v="MULZER CR-CAPE SANDY&quot;MAR-ZANE MATERIALS-MARIETTA&quot;"/>
        <s v="MULZER CR-CAPE SANDY&quot;NATIONAL L&amp;S-NEW MARTINSVILLE"/>
        <s v="MULZER CR-CAPE SANDY&quot;OHIO RIVER AGG-MOUNDSVILLE&quot;"/>
        <s v="MULZER CR-CAPE SANDY&quot;SHELLY MATERIALS-GALLIPOLIS&quot;"/>
        <s v="MULZER CR-CAPE SANDY&quot;SHELLY-PRICE INLAND-BELPRE&quot;"/>
        <s v="MULZER CR-CAPE SANDY&quot;SHELLY-SMITH R.M.-MARIETTA&quot;"/>
        <s v="MULZER CR-CHARLESTOWN&quot;MAR-ZANE MATLS-ST. MARY'S&quot;"/>
        <s v="MULZER CR-CHARLESTOWN&quot;NATIONAL L&amp;S-NEW MARTINSVIL&quot;"/>
        <s v="MULZER CR-CHARLESTOWN-&quot;OHIO RIVER AGG-CLARINGTON&quot;"/>
        <s v="MULZER CR-CHARLESTOWN&quot;SHELLY MATLS-GALLIPOLIS&quot;"/>
        <s v="MULZER CR-CHARLESTOWN&quot;SHELLY-PRICE INLAND-BELPRE&quot;"/>
        <s v="MULZER CR-CHARLESTOWN&quot;SIDWELL MATL-BELLAIRE&quot;"/>
        <s v="MULZER CR-CHARLESTOWN&quot;SMITH R.M.-MARIETTA&quot;"/>
        <s v="MULZER-AMSTERDAM&quot;SMITH CONCRETE-MARIETTA&quot;"/>
        <s v="MULZER-CHARLESTOWN&quot;MAR-ZANE MATERIALS-MARIETTA&quot;"/>
        <s v="MULZER-CHARLESTOWN&quot;YAGER MATERIALS-EGYPT VALLEY&quot;"/>
        <s v="MULZER-NEW AMSTERDAM&quot;MAR-ZANE MATERIALS-BENWOOD&quot;"/>
        <s v="MULZER-NEW AMSTERDAM&quot;MAR-ZANE MATERIALS-MARIETTA&quot;"/>
        <s v="MULZER-NEW AMSTERDAM&quot;MAR-ZANE MATLS-ST. MARY'S&quot;"/>
        <s v="MULZER-NEW AMSTERDAM&quot;NATIONAL-NEW MARTINSVILLE&quot;"/>
        <s v="MULZER-NEW AMSTERDAM&quot;PRICE INLAND-BELPRE&quot;"/>
        <s v="MULZER-NEW AMSTERDAM&quot;SHELLY MATLS-GALLIPOLIS&quot;"/>
        <s v="MULZER-NEW AMSTERDAM&quot;SIDWELL MATLS-BELLAIRE AGG&quot;"/>
        <s v="NATIONAL L&amp;S - UPPER SANDUSKY"/>
        <s v="NATIONAL L&amp;S- NEW SOUTH COLUMBUS"/>
        <s v="NATIONAL L&amp;S-BUCKLAND"/>
        <s v="NATIONAL L&amp;S-BUCYRUS"/>
        <s v="NATIONAL L&amp;S-BUCYRUS &quot;NATIONAL L&amp;S-CAMBRIDGE&quot;"/>
        <s v="NATIONAL L&amp;S-BUCYRUS &quot;NATIONAL L&amp;S-COSHOCTON&quot;"/>
        <s v="NATIONAL L&amp;S-BUCYRUS &quot;SHELLY MATLS-PORTAGE&quot;"/>
        <s v="NATIONAL L&amp;S-BUCYRUS&quot;NATIONAL L&amp;S-CANTON&quot;"/>
        <s v="NATIONAL L&amp;S-BUCYRUS&quot;NATIONAL L&amp;S-CLEVELAND&quot;"/>
        <s v="NATIONAL L&amp;S-BUCYRUS&quot;NATIONAL L&amp;S-WOOSTER&quot;"/>
        <s v="NATIONAL L&amp;S-CAREY C5"/>
        <s v="NATIONAL L&amp;S-CAREY C5 &quot;NATIONAL L&amp;S-CADIZ&quot;"/>
        <s v="NATIONAL L&amp;S-CAREY C5 &quot;NATIONAL L&amp;S-CAMBRIDGE&quot;"/>
        <s v="NATIONAL L&amp;S-CAREY C5 &quot;NATIONAL L&amp;S-COSHOCTON&quot;"/>
        <s v="NATIONAL L&amp;S-CAREY C5 &quot;NATIONAL L&amp;S-MARTINS FERRY&quot;"/>
        <s v="NATIONAL L&amp;S-CAREY C5 &quot;NATIONAL L&amp;S-TUSKY&quot;"/>
        <s v="NATIONAL L&amp;S-CAREY C5&quot;NATIONAL L&amp;S-AKRON&quot;"/>
        <s v="NATIONAL L&amp;S-CAREY C6"/>
        <s v="NATIONAL L&amp;S-CAREY C6 &quot;NATIONAL L&amp;S-CADIZ&quot;"/>
        <s v="NATIONAL L&amp;S-CAREY C6 &quot;NATIONAL L&amp;S-CAMBRIDGE&quot;"/>
        <s v="NATIONAL L&amp;S-CAREY C6 &quot;NATIONAL L&amp;S-CLEVELAND&quot;"/>
        <s v="NATIONAL L&amp;S-CAREY C6 &quot;NATIONAL L&amp;S-COSHOCTON&quot;"/>
        <s v="NATIONAL L&amp;S-CAREY C6 &quot;NATIONAL L&amp;S-ERIE,PA&quot;"/>
        <s v="NATIONAL L&amp;S-CAREY C6 &quot;NATIONAL L&amp;S-MARTINS FERRY&quot;"/>
        <s v="NATIONAL L&amp;S-CAREY C6 &quot;NATIONAL L&amp;S-STARK&quot;"/>
        <s v="NATIONAL L&amp;S-CAREY C6 &quot;NATIONAL L&amp;S-TUSKY&quot;"/>
        <s v="NATIONAL L&amp;S-CAREY C6 &quot;NATIONAL L&amp;S-WOOSTER&quot;"/>
        <s v="NATIONAL L&amp;S-CAREY C6&quot;NATIONAL L&amp;S-AKRON&quot;"/>
        <s v="NATIONAL L&amp;S-CAREY C6&quot;NATIONAL L&amp;S-CANTON&quot;"/>
        <s v="NATIONAL L&amp;S-CAREY C6&quot;NATIONAL-NEW MARTINSVILLE&quot;"/>
        <s v="NATIONAL L&amp;S-CHESTERVILLE"/>
        <s v="NATIONAL L&amp;S-DELAWARE"/>
        <s v="NATIONAL L&amp;S-DELAWARE &quot;NATIONAL L&amp;S-CAMBRIDGE&quot;"/>
        <s v="NATIONAL L&amp;S-DELAWARE&quot;NATIONAL L&amp;S-CANTON&quot;"/>
        <s v="NATIONAL L&amp;S-DELAWARE&quot;NATIONAL L&amp;S-CLEVELAND&quot;"/>
        <s v="NATIONAL L&amp;S-DELPHOS"/>
        <s v="NATIONAL L&amp;S-FINDLAY"/>
        <s v="NATIONAL L&amp;S-FINDLAY&quot;NATIONAL L&amp;S-AKRON&quot;"/>
        <s v="NATIONAL L&amp;S-FINDLAY&quot;NATIONAL L&amp;S-CANTON&quot;"/>
        <s v="NATIONAL L&amp;S-FINDLAY&quot;NATIONAL L&amp;S-WOOSTER&quot;"/>
        <s v="NATIONAL L&amp;S-LIMA"/>
        <s v="NATIONAL L&amp;S-MAGNOLIA&quot;NATIONAL L&amp;S-AKRON&quot;"/>
        <s v="NATIONAL L&amp;S-MAGNOLIA&quot;NATIONAL L&amp;S-CANTON&quot;"/>
        <s v="NATIONAL L&amp;S-MAGNOLIA&quot;NATIONAL L&amp;S-COSHOCTON&quot;"/>
        <s v="NATIONAL L&amp;S-MAGNOLIA&quot;NATIONAL L&amp;S-TUSKY VALLEY&quot;"/>
        <s v="NATIONAL L&amp;S-MAGNOLIA&quot;NATIONAL L&amp;S-WOOSTER&quot;"/>
        <s v="NATIONAL L&amp;S-MARION"/>
        <s v="NATIONAL L&amp;S-OTTAWA"/>
        <s v="NATIONAL L&amp;S-RIMER"/>
        <s v="NATIONAL L&amp;S-STRASBURG &quot;NATIONAL L&amp;S CANTON&quot;"/>
        <s v="NATIONAL L&amp;S-STRASBURG&quot;NATIONAL L&amp;S- AKRON&quot;"/>
        <s v="NATIONAL L&amp;S-STRASBURG&quot;NATIONAL L&amp;S-COSHOCTON&quot;"/>
        <s v="NATIONAL L&amp;S-STRASBURG&quot;NATIONAL L&amp;S-WOOSTER&quot;"/>
        <s v="NATIONAL L&amp;S-STRASBURG&quot;NATIONAL-TUSKY VALLEY&quot;"/>
        <s v="NEERS S&amp;G-BELLEFONTAINE"/>
        <s v="NELSON S&amp;G-KINGSVILLE"/>
        <s v="NORTHERN AGG-MINERAL RIDGE"/>
        <s v="NORTHERN KENTUCKY AGG-PETERSBURG"/>
        <s v="OEDER &amp; SONS S&amp;G-LEBANON"/>
        <s v="OHIO ASPHALTIC LIMESTONE-HILLSBORO"/>
        <s v="OLEN CORP-COLUMBUS GRAVEL"/>
        <s v="OLEN CORP-COLUMBUS LIMESTONE"/>
        <s v="OLEN CORP-FREDERICKTOWN"/>
        <s v="OLEN CORP-ST. LOUISVILLE"/>
        <s v="OLEN CORP-UPPER SANDUSKY"/>
        <s v="OLEN CORP-WOOSTER"/>
        <s v="ONTARIO ROCK-ONTARIO &quot;MELVIN STONE-WILMER&quot;"/>
        <s v="ONTARIO ROCK-ONTARIO&quot;LAFARGE-CLEVELAND&quot;"/>
        <s v="ONTARIO ROCK-ONTARIO&quot;MIDWEST TERMINALS-TOLEDO&quot;"/>
        <s v="ONTARIO ROCK-ONTARIO&quot;SHELLY MATLS-CUYAHOGA RD&quot;"/>
        <s v="ONTARIO ROCK-ONTARIO&quot;SHELLY MATLS-GALLIPOLIS&quot;"/>
        <s v="ONTARIO TRAP ROCK &quot;OSBORNE-GRAND RIVER&quot;"/>
        <s v="OSCAR BRUGMAN S&amp;G-MANTUA&quot;OSBORNE MEDINA-MEDINA&quot;"/>
        <s v="OSCAR BRUGMANN S&amp;G -MANTUA"/>
        <s v="OSTER S&amp;G-BOLIVAR"/>
        <s v="OSTER S&amp;G-MASSILLON"/>
        <s v="OSTER S&amp;G-MASSILLON&quot;OSBORNE MEDINA-LODI&quot;"/>
        <s v="OSTER S&amp;G-MASSILLON&quot;OSBORNE MEDINA-MEDINA&quot;"/>
        <s v="PHILLIPS COMPANIES-VANDALIA"/>
        <s v="PHILLIPS-XENIA"/>
        <s v="PHOENIX ASPHALT-MAGNOLIA"/>
        <s v="PHOENIX SERVICES-MARION"/>
        <s v="PHOENIX SERVICES-MINGO JUNCTION"/>
        <s v="PHOENIX SERVICES-MINGO JUNCTION&quot;MAR-ZANE MATERIA&quot;"/>
        <s v="PHOENIX SERVICES-MINGO JUNCTION&quot;MAR-ZANE-WEIRTON&quot;"/>
        <s v="PHOENIX-MAGNOLIA&quot;ACME CO.-N.JACKSON&quot;"/>
        <s v="PIQUA MATERIALS-W. STATLER RD"/>
        <s v="PK CRUSHING &amp; MATLS-AKRON"/>
        <s v="PRECISION AGG-FREMONT"/>
        <s v="PRECISION AGG-PORTAGE"/>
        <s v="R W SIDLEY-THOMPSON"/>
        <s v="RANKIN-PORT COLBORNE&quot;ONTARIO STONE-CLEVELAND&quot;"/>
        <s v="RANKIN-PORT COLBOURNE&quot;PINNEY DOCK-ASHTABULA&quot;"/>
        <s v="RAZOR LAKE S&amp;G-NEWCOMERSTOWN"/>
        <s v="RIVERSIDE&quot;MARTIN MARIETTA-NEW MARTINSVILE&quot;"/>
        <s v="RIVERSIDE&quot;MARTIN MARIETTA-RAVENSWOOD,WVA&quot;"/>
        <s v="RIVERSIDE-BATTLETOWN&quot;MARTIN MARIETA-PARKERSBURG&quot;"/>
        <s v="RIVERSIDE-BATTLETOWN&quot;MARTIN MARIETTA-KELLOGG&quot;"/>
        <s v="RIVERSIDE-BATTLETOWN&quot;MARTIN MARIETTA-PARKERSBURG&quot;"/>
        <s v="RIVERSIDE-BATTLETOWN&quot;MAR-ZANE-BENWOOD&quot;"/>
        <s v="RIVERSIDE-BATTLETOWN&quot;MAR-ZANE-WEIRTON&quot;"/>
        <s v="RIVERSIDE-BATTLETOWN&quot;NATIONAL L&amp;S-NEW MARTINSVILL&quot;"/>
        <s v="RIVERSIDE-BATTLETOWN&quot;OHIO RIVER AGG-MOUNDSVILLE&quot;"/>
        <s v="RIVERSIDE-BATTLETOWN&quot;YAGER MATLS-BEAVERTOWN&quot;"/>
        <s v="RIVERSIDE-BATTLETOWN,KY&quot;M.M.-RAVENSWOOD,WVA&quot;"/>
        <s v="RIVERSIDE-BATTLETOWN,KY&quot;M.M-NEW MARTINSVILLE&quot;"/>
        <s v="RUPP CONSTRUCTION-MARSHALLVILLE"/>
        <s v="RW SIDLEY-KINGSVILLE"/>
        <s v="SEARGENT STONE-CORNING"/>
        <s v="SHELLY MATLS-BELLE CENTER"/>
        <s v="SHELLY MATLS-CHILLICOTHE"/>
        <s v="SHELLY MATLS-CHILLICOTHE&quot;SHELLY MATLS-LANCASTER&quot;"/>
        <s v="SHELLY MATLS-COLUMBUS GR&quot;SHELLY MATLS-LANCASTER&quot;"/>
        <s v="SHELLY MATLS-COLUMBUS GRAVEL"/>
        <s v="SHELLY MATLS-COLUMBUS LIMESTONE"/>
        <s v="SHELLY MATLS-COSHOCTON"/>
        <s v="SHELLY MATLS-COSHOCTON - &quot;SHELLY MATLS_DERWENT&quot;"/>
        <s v="SHELLY MATLS-DRESDEN"/>
        <s v="SHELLY MATLS-E. FULTONHAM"/>
        <s v="SHELLY MATLS-E. FULTONHAM&quot;SHELLY MATLS-LANCASTER&quot;"/>
        <s v="SHELLY MATLS-E.FULTONHAM"/>
        <s v="SHELLY MATLS-E.FULTONHAM - &quot;SHELLY MATLS-DERWENT&quot;"/>
        <s v="SHELLY MATLS-FOREST"/>
        <s v="SHELLY MATLS-LOCKBOURNE"/>
        <s v="SHELLY MATLS-MARBLE CLIFF"/>
        <s v="SHELLY MATLS-OSTRANDER"/>
        <s v="SHELLY MATLS-PORTLAND"/>
        <s v="SHELLY MATLS-PORTLAND&quot;SHELLY MATLS - GALLIPOLIS&quot;"/>
        <s v="SHELLY MATLS-REEDSVILLE"/>
        <s v="SHELLY MATLS-REEDSVILLE&quot;HANSON-CORAOPOLIS YARD&quot;"/>
        <s v="SHELLY MATLS-RENO"/>
        <s v="SHELLY MATLS-RENO&quot;MAR-ZANE MATERIALS-MARIETTA&quot;"/>
        <s v="SHELLY MATLS-SHALERSVILLE N&quot;SHELLY MATLS-MEDINA&quot;"/>
        <s v="SHELLY MATLS-SHALERSVILLE&quot;SHELLY MATLS-CUYAHOGA R&quot;"/>
        <s v="SHELLY MATLS-SHALERSVILLE&quot;SHELLY MATLS-WEST 130TH&quot;"/>
        <s v="SHELLY MATLS-SPRINGFIELD"/>
        <s v="SHELLY MATLS-ST. LOUISVILLE"/>
        <s v="SHELLY MATLS-STREETSBORO"/>
        <s v="SHELLY MATLS-WILLOW ISLAND -&quot;SHELLY MATLS-DERWENT&quot;"/>
        <s v="SHELLY MATLS-YORK CENTER"/>
        <s v="SIDWELL MATERIALS-BLAINE AGGREGATES"/>
        <s v="SIDWELL MATERIALS-MIDVALE"/>
        <s v="SIDWELL MATERIALS-STANDING STONE"/>
        <s v="SIDWELL MATERIALS-UNIONTOWN STONE"/>
        <s v="SIDWELL MATL-MIDVALE S&amp;G&quot;SIDWELL MATL- BELLAIRE&quot;"/>
        <s v="SIMAK TRUCKING &amp; EXCAVATING-NORTH KINGSVILLE"/>
        <s v="SLIPPERY ROCK MATERIALS - VOLANT"/>
        <s v="SMALLS S&amp;G-GAMBIER"/>
        <s v="SMELTER BAY SAND&quot;OSBORNE-GRAND RIVER&quot;"/>
        <s v="SMELTER SD-THEESSALON&quot;LAFARGE-TERMINAL DOCK&quot;"/>
        <s v="SMELTER SD-THESSALON&quot;OSBORNE-CLEVELAND&quot;"/>
        <s v="SMELTER SD-THESSALON&quot;SHELLY MATLS-CUYAHOGA RD&quot;"/>
        <s v="SOBER S&amp;G-ROOTSTOWN"/>
        <s v="SOEHNLEN BROS S&amp;G-BEACH CITY"/>
        <s v="SOLOMON MINES-SOLOMON"/>
        <s v="SOUTH CENTRAL S&amp;G - PIKETON"/>
        <s v="SOUTHERN OHIO AGG-CLEVES"/>
        <s v="STAFFORD GRAVEL-BUTLER"/>
        <s v="STANSLEY-GENOA&quot;STONECO-MAUMEE&quot;"/>
        <s v="STEIN - CLEVELAND SLAG"/>
        <s v="STOCKER S&amp;G-GNADENHUTTEN"/>
        <s v="STOCKER S&amp;G-GNADENHUTTEN&quot;OHIO RIVER AGG-MOUNDSVIL&quot;"/>
        <s v="STOCKER S&amp;G-PT.WASHINGTON"/>
        <s v="STOCKER S&amp;G-PT.WASHINGTON&quot;MAR-ZANE MATERIALS-BEN&quot;"/>
        <s v="STOCKER S&amp;G-PT.WASHINGTON&quot;MAR-ZANE MATERIALS-BETH&quot;"/>
        <s v="STOCKER S&amp;G-PT.WASHINGTON&quot;MAR-ZANE-WEIRTON, WV&quot;"/>
        <s v="STOCKER-PT. WASHINGTON&quot;MAR-ZANE-BYESVILLE&quot;"/>
        <s v="STONE STREET QUARRIES - POE"/>
        <s v="STONE STREET QUARRIES-HAYNES S&amp;G"/>
        <s v="STONECO ALLIED CORP-PETERSBURG"/>
        <s v="STONECO OF MICHIGAN-ANN ARBOR"/>
        <s v="STONECO OF MICHIGAN-MOSCOW"/>
        <s v="STONECO OF MICHIGAN-MOSCOW&quot;STONECO-OTTAWA LAKE&quot;"/>
        <s v="STONECO OF MICHIGAN-OTTAWA LAKE"/>
        <s v="STONECO OF MICHIGAN-ZEEB"/>
        <s v="STONECO OF MICHIGAN-ZEEB &quot;STONECO-OTTAWA LAKE&quot;"/>
        <s v="STONECO-AUGLAIZE"/>
        <s v="STONECO-CELINA"/>
        <s v="STONECO-CLAY CENTER"/>
        <s v="STONECO-CLAY CENTER- &quot;SHELLY MATLS-WEST 130TH&quot;"/>
        <s v="STONECO-CLAY CENTER&quot;SHELLY MATLS-ALLIANCE&quot;"/>
        <s v="STONECO-CLAY CENTER&quot;SHELLY MATLS-COPLEY&quot;"/>
        <s v="STONECO-CLAY CENTER&quot;SHELLY MATLS-PORTAGE&quot;"/>
        <s v="STONECO-CLAY CENTER&quot;SHELLY MATLS-TWINSBURG&quot;"/>
        <s v="STONECO-MAUMEE"/>
        <s v="STONECO-PORTAGE"/>
        <s v="STONECO-SCOTT"/>
        <s v="STONECO-WYANDOT DOLOMITE&quot;SHELLY MATLS-MEDINA&quot;"/>
        <s v="SUBTROPILIS-PETERSBURG&quot;MAR-ZANE-WEIRTON, WV&quot;"/>
        <s v="SUBTROPOLIS MINING-PETERSBURG"/>
        <s v="SUBTROPOLIS MINING-PETERSBURG&quot;ACME CO-N.JACKSON&quot;"/>
        <s v="SUFFIELD AGG-MOGADORE"/>
        <s v="THREE RIVERS AGGREGATES - BLACK RUN"/>
        <s v="THREE RIVERS AGGREGATES-SLIPPERY ROCK"/>
        <s v="THREE RIVERS AGGREGATE-WAMPUM QUARRY"/>
        <s v="TIGER S&amp;G-MASSILLON"/>
        <s v="TIGER S&amp;G-MASSILLON&quot;ACME CO-N. JACKSON&quot;"/>
        <s v="TOW PATH MATERIALS - CHILLICOTHE"/>
        <s v="TOW PATH-FRANKFORT"/>
        <s v="TOW PATH-LUCASVILLE"/>
        <s v="TUFFCO S&amp;G-PLAIN CITY"/>
        <s v="U.S. AGGREGATES-PLEASANT MILLS"/>
        <s v="U.S. AGGREGATES-PORTLAND"/>
        <s v="U.S. AGGREGATES-RICHMOND"/>
        <s v="U.S. AGGREGATES-RIDGEVILLE"/>
        <s v="UNITED AGG-DANVILLE"/>
        <s v="UNITED AGG-MT.VERNON"/>
        <s v="URBANA MATLS-MUZZY RD"/>
        <s v="VALLEY ASPHALT-SHARONVILLE"/>
        <s v="WALLS MATERIALS-FT. JEFFERSON"/>
        <s v="WATSON GRAVEL-EDGEWATER"/>
        <s v="WATSON GRAVEL-HARRISON"/>
        <s v="WATSON GRAVEL-MIDDLETOWN"/>
        <s v="WATSON GRAVEL-ROSS"/>
        <s v="WEBER MATERIALS-ST MARYS"/>
        <s v="WEBER S&amp;G-EDGERTON"/>
        <s v="WEIDLE S&amp;G-GERMANTOWN"/>
        <s v="WELCH S&amp;G-ROSS"/>
        <s v="WESTFALL AGG &amp; MATLS-HILL ROAD"/>
        <s v="WILLIAM ALBERT-COSHOCTON"/>
        <s v="WYANDOT-CAREY"/>
        <s v="WYANDOT-CAREY - &quot;SHELLY MATLS-ALLIANCE&quot;"/>
        <s v="WYANDOT-CAREY - &quot;SHELLY MATLS-DERWENT&quot;"/>
        <s v="WYANDOT-CAREY - &quot;SHELLY MATLS-WEST 130TH&quot;"/>
        <s v="WYANDOT-CAREY&quot;CITY STONE-ROUTE 45&quot;"/>
        <s v="WYANDOT-CAREY&quot;CITY STONE-YOUNGSTOWN&quot;"/>
        <s v="WYANDOT-CAREY&quot;OSBORNE MEDINA-MEDINA&quot;"/>
        <s v="WYANDOT-CAREY&quot;SHELLY MATLS-COPLEY&quot;"/>
        <s v="WYANDOT-CAREY&quot;SHELLY-PORTAGE&quot;"/>
        <s v="WYLIE &amp; SONS LANDSCAPING-PERRYSBURG"/>
        <s v="WYSONG GRAVEL-CAMDEN"/>
        <s v="WYSONG GRAVEL-W.ALEXANDRIA"/>
        <s v="XL S&amp;G-NEGLEY"/>
        <s v="YAGER MATLS-OWENSBORO&quot;MAR-ZANE MATLS-BENWOOD&quot;"/>
        <s v="YAGER MATLS-OWENSBOROR&quot;MAR-ZANE-WEIRTON&quot;"/>
        <s v="YOUNGS S&amp;G-LOUDENVILLE&quot;OSBORNE-MEDINA-MEDINA&quot;"/>
        <s v="YOUNGS S&amp;G-LOUDONVILLE"/>
      </sharedItems>
    </cacheField>
    <cacheField name="PRODR_SUPP_CD" numFmtId="0">
      <sharedItems count="622">
        <s v="05152-01"/>
        <s v="05150-01"/>
        <s v="04326-01"/>
        <s v="05151-01"/>
        <s v="05155-01"/>
        <s v="04385-01"/>
        <s v="04392-01"/>
        <s v="04376-01"/>
        <s v="04339-01"/>
        <s v="04339-42"/>
        <s v="04339-04"/>
        <s v="04339-55"/>
        <s v="04372-13"/>
        <s v="04339-69"/>
        <s v="04372-69"/>
        <s v="04381-01"/>
        <s v="04303-01"/>
        <s v="04303-55"/>
        <s v="04386-01"/>
        <s v="04304-01"/>
        <s v="04384-01"/>
        <s v="04791-01"/>
        <s v="4791A-01"/>
        <s v="04163-01"/>
        <s v="4163A-01"/>
        <s v="04163-66"/>
        <s v="4163A-66"/>
        <s v="04309-01"/>
        <s v="04378-01"/>
        <s v="04624-01"/>
        <s v="4623B-01"/>
        <s v="04613-01"/>
        <s v="4613A-01"/>
        <s v="04608-01"/>
        <s v="4608A-01"/>
        <s v="04609-01"/>
        <s v="04747-01"/>
        <s v="4747A-01"/>
        <s v="04305-01"/>
        <s v="04950-01"/>
        <s v="4950A-01"/>
        <s v="04950-45"/>
        <s v="04950-39"/>
        <s v="04950-17"/>
        <s v="04950-14"/>
        <s v="05107-01"/>
        <s v="04348-01"/>
        <s v="04430-01"/>
        <s v="04631-01"/>
        <s v="04158-01"/>
        <s v="05115-31"/>
        <s v="4738A-17"/>
        <s v="04741-39"/>
        <s v="04741-16"/>
        <s v="04741-14"/>
        <s v="05116-23"/>
        <s v="05116-30"/>
        <s v="05115-72"/>
        <s v="05115-23"/>
        <s v="05115-25"/>
        <s v="05115-30"/>
        <s v="05115-04"/>
        <s v="04738-57"/>
        <s v="04738-16"/>
        <s v="04738-14"/>
        <s v="04738-39"/>
        <s v="04738-17"/>
        <s v="04738-44"/>
        <s v="04738-12"/>
        <s v="04738-81"/>
        <s v="04738-82"/>
        <s v="04738-99"/>
        <s v="04738-89"/>
        <s v="05106-23"/>
        <s v="05106-28"/>
        <s v="05106-25"/>
        <s v="05106-30"/>
        <s v="05106-31"/>
        <s v="04741-17"/>
        <s v="05116-31"/>
        <s v="04322-01"/>
        <s v="04307-01"/>
        <s v="4307A-01"/>
        <s v="04918-01"/>
        <s v="05153-01"/>
        <s v="04328-01"/>
        <s v="04438-01"/>
        <s v="05147-03"/>
        <s v="05147-04"/>
        <s v="04312-01"/>
        <s v="04418-01"/>
        <s v="04397-01"/>
        <s v="04396-01"/>
        <s v="05111-28"/>
        <s v="05111-25"/>
        <s v="05111-24"/>
        <s v="04638-01"/>
        <s v="04730-01"/>
        <s v="04314-01"/>
        <s v="04364-03"/>
        <s v="04962-01"/>
        <s v="04847-01"/>
        <s v="04611-01"/>
        <s v="04206-01"/>
        <s v="04206-13"/>
        <s v="04206-10"/>
        <s v="04839-01"/>
        <s v="04788-01"/>
        <s v="05009-01"/>
        <s v="04630-01"/>
        <s v="04147-01"/>
        <s v="4147A-01"/>
        <s v="04118-01"/>
        <s v="04156-91"/>
        <s v="04001-01"/>
        <s v="04128-01"/>
        <s v="04113-01"/>
        <s v="4113A-01"/>
        <s v="4113A-86"/>
        <s v="04156-01"/>
        <s v="4156A-01"/>
        <s v="04156-86"/>
        <s v="4156A-86"/>
        <s v="04120-01"/>
        <s v="4120A-01"/>
        <s v="04122-01"/>
        <s v="4122A-01"/>
        <s v="04159-01"/>
        <s v="04159-91"/>
        <s v="04108-01"/>
        <s v="4108A-01"/>
        <s v="04108-90"/>
        <s v="04949-56"/>
        <s v="04740-71"/>
        <s v="04740-81"/>
        <s v="04740-89"/>
        <s v="04771-07"/>
        <s v="04771-06"/>
        <s v="04771-81"/>
        <s v="04771-71"/>
        <s v="04771-50"/>
        <s v="04783-01"/>
        <s v="4783A-01"/>
        <s v="04783-07"/>
        <s v="04783-06"/>
        <s v="4783A-16"/>
        <s v="04783-14"/>
        <s v="04719-06"/>
        <s v="4719A-06"/>
        <s v="04719-07"/>
        <s v="4719A-07"/>
        <s v="04927-01"/>
        <s v="05017-01"/>
        <s v="5017C-01"/>
        <s v="05057-01"/>
        <s v="5057C-01"/>
        <s v="04315-01"/>
        <s v="05156-01"/>
        <s v="04792-01"/>
        <s v="04750-01"/>
        <s v="04161-01"/>
        <s v="04162-01"/>
        <s v="04316-69"/>
        <s v="04953-01"/>
        <s v="05078-01"/>
        <s v="05016-01"/>
        <s v="04947-01"/>
        <s v="04023-01"/>
        <s v="4023B-01"/>
        <s v="04960-01"/>
        <s v="04363-01"/>
        <s v="05114-24"/>
        <s v="05114-43"/>
        <s v="05114-29"/>
        <s v="05114-28"/>
        <s v="05114-62"/>
        <s v="05114-37"/>
        <s v="05114-04"/>
        <s v="04105-01"/>
        <s v="04105-24"/>
        <s v="04105-23"/>
        <s v="04105-28"/>
        <s v="04105-25"/>
        <s v="04105-43"/>
        <s v="04105-29"/>
        <s v="04105-62"/>
        <s v="04105-37"/>
        <s v="04105-04"/>
        <s v="04002-01"/>
        <s v="05109-24"/>
        <s v="05109-43"/>
        <s v="05109-29"/>
        <s v="05109-28"/>
        <s v="05109-25"/>
        <s v="04320-01"/>
        <s v="04320-03"/>
        <s v="04320-24"/>
        <s v="04818-01"/>
        <s v="04818-48"/>
        <s v="04818-78"/>
        <s v="05076-01"/>
        <s v="4204A-96"/>
        <s v="04139-01"/>
        <s v="04311-01"/>
        <s v="04114-01"/>
        <s v="04772-01"/>
        <s v="04772-05"/>
        <s v="04837-01"/>
        <s v="4837A-01"/>
        <s v="04820-01"/>
        <s v="04820-05"/>
        <s v="4205A-01"/>
        <s v="4205B-01"/>
        <s v="4205C-01"/>
        <s v="4205D-01"/>
        <s v="4205A-96"/>
        <s v="4205B-96"/>
        <s v="4205C-96"/>
        <s v="4205B-22"/>
        <s v="4205C-22"/>
        <s v="4205C-67"/>
        <s v="4205A-40"/>
        <s v="4205B-40"/>
        <s v="4205C-40"/>
        <s v="4205D-40"/>
        <s v="4205A-09"/>
        <s v="4205B-09"/>
        <s v="4205D-09"/>
        <s v="4205A-53"/>
        <s v="4205B-53"/>
        <s v="4205D-53"/>
        <s v="4205A-28"/>
        <s v="4205A-27"/>
        <s v="4205B-27"/>
        <s v="4205C-27"/>
        <s v="4205D-27"/>
        <s v="4205B-42"/>
        <s v="4205B-32"/>
        <s v="4205B-69"/>
        <s v="04811-01"/>
        <s v="05076-93"/>
        <s v="04111-01"/>
        <s v="04776-01"/>
        <s v="4204A-01"/>
        <s v="4204B-01"/>
        <s v="4204A-10"/>
        <s v="4204A-53"/>
        <s v="4204A-27"/>
        <s v="4204A-13"/>
        <s v="4204A-42"/>
        <s v="04110-01"/>
        <s v="4110B-01"/>
        <s v="04833-01"/>
        <s v="04833-05"/>
        <s v="04025-01"/>
        <s v="04912-01"/>
        <s v="04749-01"/>
        <s v="04915-01"/>
        <s v="04915-39"/>
        <s v="04915-14"/>
        <s v="04915-17"/>
        <s v="04954-39"/>
        <s v="04954-17"/>
        <s v="04954-01"/>
        <s v="04954-14"/>
        <s v="04737-01"/>
        <s v="04784-01"/>
        <s v="04601-01"/>
        <s v="04703-01"/>
        <s v="4703A-01"/>
        <s v="04705-01"/>
        <s v="04708-01"/>
        <s v="04782-01"/>
        <s v="04604-01"/>
        <s v="04715-01"/>
        <s v="04726-01"/>
        <s v="04607-01"/>
        <s v="04106-32"/>
        <s v="04106-10"/>
        <s v="04106-69"/>
        <s v="04106-13"/>
        <s v="04711-01"/>
        <s v="04212-01"/>
        <s v="4212A-01"/>
        <s v="04416-01"/>
        <s v="04903-01"/>
        <s v="4903A-01"/>
        <s v="4959A-01"/>
        <s v="4959B-01"/>
        <s v="4959A-84"/>
        <s v="04373-01"/>
        <s v="4373A-01"/>
        <s v="04807-01"/>
        <s v="4807A-01"/>
        <s v="04416-75"/>
        <s v="4416A-01"/>
        <s v="04330-20"/>
        <s v="04352-01"/>
        <s v="4352A-01"/>
        <s v="04379-01"/>
        <s v="04435-01"/>
        <s v="04308-01"/>
        <s v="04946-01"/>
        <s v="04961-01"/>
        <s v="04637-01"/>
        <s v="04777-01"/>
        <s v="04526-01"/>
        <s v="4526A-01"/>
        <s v="04794-01"/>
        <s v="04721-01"/>
        <s v="04721-77"/>
        <s v="04721-76"/>
        <s v="04721-16"/>
        <s v="04721-94"/>
        <s v="04707-01"/>
        <s v="04822-01"/>
        <s v="04836-01"/>
        <s v="04836-48"/>
        <s v="4907A-01"/>
        <s v="04511-01"/>
        <s v="04107-01"/>
        <s v="04107-13"/>
        <s v="04107-10"/>
        <s v="04723-01"/>
        <s v="04612-01"/>
        <s v="04790-01"/>
        <s v="04851-01"/>
        <s v="04816-01"/>
        <s v="04932-97"/>
        <s v="04932-45"/>
        <s v="04932-81"/>
        <s v="04932-50"/>
        <s v="04932-36"/>
        <s v="04932-33"/>
        <s v="04932-35"/>
        <s v="04933-85"/>
        <s v="04933-81"/>
        <s v="04933-82"/>
        <s v="04933-36"/>
        <s v="04933-33"/>
        <s v="04933-80"/>
        <s v="04933-35"/>
        <s v="04769-35"/>
        <s v="04933-45"/>
        <s v="04933-99"/>
        <s v="04769-44"/>
        <s v="04769-45"/>
        <s v="04769-85"/>
        <s v="04769-81"/>
        <s v="04769-33"/>
        <s v="04769-36"/>
        <s v="04769-80"/>
        <s v="04019-01"/>
        <s v="04541-01"/>
        <s v="4636B-01"/>
        <s v="04202-01"/>
        <s v="4202A-01"/>
        <s v="04202-74"/>
        <s v="04202-41"/>
        <s v="04202-32"/>
        <s v="04202-22"/>
        <s v="04202-63"/>
        <s v="04202-19"/>
        <s v="4202A-19"/>
        <s v="04006-01"/>
        <s v="04006-73"/>
        <s v="04006-74"/>
        <s v="04006-41"/>
        <s v="04006-67"/>
        <s v="04006-26"/>
        <s v="04006-20"/>
        <s v="04030-01"/>
        <s v="04030-73"/>
        <s v="04030-74"/>
        <s v="04030-63"/>
        <s v="04030-41"/>
        <s v="04030-64"/>
        <s v="04030-67"/>
        <s v="04030-40"/>
        <s v="04030-26"/>
        <s v="04030-19"/>
        <s v="04030-20"/>
        <s v="04030-22"/>
        <s v="04030-81"/>
        <s v="04521-01"/>
        <s v="04505-01"/>
        <s v="4505B-01"/>
        <s v="04505-74"/>
        <s v="04505-22"/>
        <s v="04505-63"/>
        <s v="04015-01"/>
        <s v="04007-01"/>
        <s v="04007-20"/>
        <s v="04007-22"/>
        <s v="04007-19"/>
        <s v="04008-01"/>
        <s v="4008B-01"/>
        <s v="05047-20"/>
        <s v="05047-22"/>
        <s v="05047-41"/>
        <s v="05047-26"/>
        <s v="05047-19"/>
        <s v="04512-01"/>
        <s v="4512A-01"/>
        <s v="04011-01"/>
        <s v="04027-01"/>
        <s v="05073-22"/>
        <s v="05073-20"/>
        <s v="05073-41"/>
        <s v="05073-19"/>
        <s v="05073-26"/>
        <s v="04629-01"/>
        <s v="04301-01"/>
        <s v="04310-01"/>
        <s v="04745-01"/>
        <s v="4745A-01"/>
        <s v="04724-01"/>
        <s v="04819-01"/>
        <s v="04509-01"/>
        <s v="4509A-01"/>
        <s v="4509B-01"/>
        <s v="04538-01"/>
        <s v="04420-01"/>
        <s v="4420A-01"/>
        <s v="04410-01"/>
        <s v="4410B-01"/>
        <s v="4410C-01"/>
        <s v="04004-01"/>
        <s v="4004A-01"/>
        <s v="4004B-01"/>
        <s v="04215-01"/>
        <s v="4215A-01"/>
        <s v="04144-76"/>
        <s v="04144-24"/>
        <s v="04144-54"/>
        <s v="04144-04"/>
        <s v="04144-36"/>
        <s v="04144-25"/>
        <s v="04306-53"/>
        <s v="04306-01"/>
        <s v="05027-01"/>
        <s v="04325-01"/>
        <s v="04325-09"/>
        <s v="04325-53"/>
        <s v="04614-01"/>
        <s v="04725-01"/>
        <s v="05064-01"/>
        <s v="04540-01"/>
        <s v="05002-01"/>
        <s v="05002-44"/>
        <s v="05002-12"/>
        <s v="05064-03"/>
        <s v="04615-01"/>
        <s v="04356-01"/>
        <s v="04109-01"/>
        <s v="04133-01"/>
        <s v="05113-01"/>
        <s v="05112-23"/>
        <s v="05112-31"/>
        <s v="04423-01"/>
        <s v="4937A-39"/>
        <s v="4937A-17"/>
        <s v="4937A-14"/>
        <s v="04937-16"/>
        <s v="4937A-16"/>
        <s v="04937-14"/>
        <s v="04937-44"/>
        <s v="04937-12"/>
        <s v="04937-81"/>
        <s v="04937-50"/>
        <s v="04937-89"/>
        <s v="04937-17"/>
        <s v="04937-39"/>
        <s v="04214-01"/>
        <s v="04335-01"/>
        <s v="04436-01"/>
        <s v="04626-01"/>
        <s v="04804-01"/>
        <s v="04804-84"/>
        <s v="04503-84"/>
        <s v="04503-01"/>
        <s v="04502-01"/>
        <s v="4502B-01"/>
        <s v="4502C-01"/>
        <s v="4502D-01"/>
        <s v="04403-01"/>
        <s v="4403A-01"/>
        <s v="4403B-01"/>
        <s v="4403C-01"/>
        <s v="04403-75"/>
        <s v="04402-01"/>
        <s v="4413B-01"/>
        <s v="04413-84"/>
        <s v="04413-01"/>
        <s v="4413A-01"/>
        <s v="04413-75"/>
        <s v="04020-01"/>
        <s v="04523-01"/>
        <s v="04504-01"/>
        <s v="04519-01"/>
        <s v="04958-01"/>
        <s v="04958-36"/>
        <s v="04945-01"/>
        <s v="04945-95"/>
        <s v="04948-01"/>
        <s v="4948A-01"/>
        <s v="04948-45"/>
        <s v="04390-55"/>
        <s v="04390-04"/>
        <s v="04390-69"/>
        <s v="04652-01"/>
        <s v="04407-01"/>
        <s v="04316-01"/>
        <s v="04948-75"/>
        <s v="04513-01"/>
        <s v="05074-01"/>
        <s v="05029-01"/>
        <s v="05066-01"/>
        <s v="05062-01"/>
        <s v="05029-80"/>
        <s v="04380-01"/>
        <s v="04337-01"/>
        <s v="04419-01"/>
        <s v="4419A-01"/>
        <s v="4419B-01"/>
        <s v="04126-25"/>
        <s v="04126-29"/>
        <s v="04126-28"/>
        <s v="04126-04"/>
        <s v="04377-01"/>
        <s v="05069-01"/>
        <s v="04371-01"/>
        <s v="04805-01"/>
        <s v="04766-01"/>
        <s v="04135-01"/>
        <s v="4118R-01"/>
        <s v="05147-01"/>
        <s v="09552-01"/>
        <s v="9552A-01"/>
        <s v="09552-50"/>
        <s v="05038-01"/>
        <s v="5038A-01"/>
        <s v="05038-44"/>
        <s v="05038-56"/>
        <s v="05038-12"/>
        <s v="05038-92"/>
        <s v="04036-01"/>
        <s v="04035-01"/>
        <s v="04372-01"/>
        <s v="04169-01"/>
        <s v="04131-01"/>
        <s v="04131-58"/>
        <s v="04132-01"/>
        <s v="04160-01"/>
        <s v="04160-58"/>
        <s v="04012-01"/>
        <s v="04622-01"/>
        <s v="4622A-01"/>
        <s v="4622B-01"/>
        <s v="04116-01"/>
        <s v="04116-69"/>
        <s v="04116-13"/>
        <s v="04116-42"/>
        <s v="04116-32"/>
        <s v="04116-10"/>
        <s v="04123-01"/>
        <s v="4123B-01"/>
        <s v="04103-01"/>
        <s v="04013-01"/>
        <s v="04017-55"/>
        <s v="04394-12"/>
        <s v="04394-01"/>
        <s v="4394A-01"/>
        <s v="04394-03"/>
        <s v="04399-01"/>
        <s v="04375-01"/>
        <s v="04395-01"/>
        <s v="04388-01"/>
        <s v="04344-01"/>
        <s v="4344B-01"/>
        <s v="04344-03"/>
        <s v="04850-01"/>
        <s v="04841-01"/>
        <s v="04838-01"/>
        <s v="04516-01"/>
        <s v="4516A-01"/>
        <s v="04005-01"/>
        <s v="04032-01"/>
        <s v="04709-01"/>
        <s v="04033-01"/>
        <s v="04405-01"/>
        <s v="04409-01"/>
        <s v="04628-01"/>
        <s v="04793-01"/>
        <s v="4602A-01"/>
        <s v="04787-01"/>
        <s v="04779-01"/>
        <s v="04744-01"/>
        <s v="04729-01"/>
        <s v="04632-01"/>
        <s v="04117-01"/>
        <s v="04650-01"/>
        <s v="04733-01"/>
        <s v="04535-01"/>
        <s v="04432-01"/>
        <s v="04017-01"/>
        <s v="04017-13"/>
        <s v="04017-75"/>
        <s v="04017-69"/>
        <s v="04017-11"/>
        <s v="04017-49"/>
        <s v="04017-53"/>
        <s v="04017-42"/>
        <s v="04017-32"/>
        <s v="04166-01"/>
        <s v="04734-01"/>
        <s v="04736-01"/>
        <s v="05039-01"/>
        <s v="04795-44"/>
        <s v="04795-12"/>
        <s v="04201-53"/>
        <s v="04201-01"/>
      </sharedItems>
    </cacheField>
    <cacheField name="CITY, STATE, ZIP" numFmtId="0">
      <sharedItems count="273">
        <s v="CLEVELAND, OH, 44125"/>
        <s v="PAINESVILLE, OH, 44077"/>
        <s v="RICHFIELD, OH, 44286"/>
        <s v="VALLEY VIEW, OH, 44125"/>
        <s v="HARRISVILLE, PA, 16088"/>
        <s v="PORTERSVILLE, PA, 16051"/>
        <s v="SLIPPERY ROCK, PA, 16057"/>
        <s v="MASSILION, OH, 44646"/>
        <s v="COPLEY, OH, 44321"/>
        <s v="CLEVELAND, OH, 44113"/>
        <s v="MEDINA, OH, 44256"/>
        <s v="ALLIANCE, OH, 44601"/>
        <s v="CLEVELAND, OH, 44135"/>
        <s v="MASSILLON, OH, 44646"/>
        <s v="MASSILLON, OH, 44647"/>
        <s v="ELLWOOD CITY, PA, 16117"/>
        <s v="WAMPUM, PA, 16157"/>
        <s v="NEW CASTLE, PA, 16101"/>
        <s v="BATAVIA, OH, 45103"/>
        <s v="WOODVILLE, OH, 43469"/>
        <s v="CLEVELAND, OH, 44110"/>
        <s v="MANTUA, OH, 44255"/>
        <s v="RAVENNA, OH, 44266"/>
        <s v="SIDNEY, OH, 45365"/>
        <s v="MIAMISBURG, OH, 45342"/>
        <s v="FAIRBORN, OH, 45324"/>
        <s v="LUDLOW FALLS, OH, 45339"/>
        <s v="RICHMOND, IN, 47374"/>
        <s v="LITTLE HOCKING, OH, 45742"/>
        <s v="MARIETTA, OH, 45750"/>
        <s v="NEW MARTINSVILLE, WV, 26155"/>
        <s v="RAVENSWOOD, WV, 26164"/>
        <s v="PARKERSBURG, WV, 26101"/>
        <s v="CHARDON, OH, 44024"/>
        <s v="YOUNGSTOWN, OH, 44502"/>
        <s v="ALEXANDRIA, OH, 43001"/>
        <s v="BRADFORD, OH, 45308"/>
        <s v="PERRYSBURG, OH, 43551"/>
        <s v="ASHTABULA, OH, 44004"/>
        <s v="CINCINNATI, OH, 45226"/>
        <s v="CONNEAUT, OH, 44030"/>
        <s v="ERIE, PA, 16512"/>
        <s v="GRAND RIVER, OH, 44045"/>
        <s v="MAYSVILLE, KY, 41056"/>
        <s v="BENWOOD, WV, 26031"/>
        <s v="WEIRTON, WV, 26062"/>
        <s v="SARDIS, OH, 43946"/>
        <s v="CLARINGTON, OH, 43915"/>
        <s v="MORRISTOWN, OH, 43759"/>
        <s v="NEW MATAMORAS, OH, 45767"/>
        <s v="CLEVELAND, OH, 44115"/>
        <s v="NAVARRE, OH, 44662"/>
        <s v="CANTON, OH, 44705"/>
        <s v="LEWISVILLE, OH, 43754"/>
        <s v="HERMITAGE, PA, 16148"/>
        <s v="MILTON TOWNSHIP, OH, 44512"/>
        <s v="NEWCOMERSTOWN, OH, 43832"/>
        <s v="NORTH JACKSON, OH, 44451"/>
        <s v="KENT, OH, 44240"/>
        <s v="CUMBERLAND, OH, 43732"/>
        <s v="MOGADORE, OH, 44260"/>
        <s v="MERCER, PA, 16137"/>
        <s v="HUNTSVILLE, OH, 43324"/>
        <s v="GERMANTOWN, OH, 45327"/>
        <s v="PETERSBURG, OH, 44454"/>
        <s v="GUYSVILLE, OH, 45692"/>
        <s v="WELLSTON, OH, 45692"/>
        <s v="ENON, OH, 45502"/>
        <s v="SANDUSKY, OH, 44870"/>
        <s v="TWINSBURG, OH, 44087"/>
        <s v="HILLSBORO, OH, 45133"/>
        <s v="CINCINNATI, OH, 45244"/>
        <s v="FREDERICKSBURG, OH, 44627"/>
        <s v="GREENVILLE, OH, 45331"/>
        <s v="DELTA, OH, 43515"/>
        <s v="GENOA, OH, 43430"/>
        <s v="SYLVANIA, OH, 43560"/>
        <s v="BLUFFTON, OH, 45817"/>
        <s v="CLINTON, MI, 49236"/>
        <s v="CUSTAR, OH, 43511"/>
        <s v="PIONEER, OH, 43554"/>
        <s v="JONESVILLE, MI, 49250"/>
        <s v="WALDRON, MI, 49228"/>
        <s v="ADDISON, MI, 49220"/>
        <s v="TECUMSEH, MI, 49286"/>
        <s v="WEST MILLGROVE, OH, 43467"/>
        <s v="STONY RIDGE, OH, 43463"/>
        <s v="BETHESDA, OH, 43719"/>
        <s v="WILLIAMSTOWN, WV, 26187"/>
        <s v="CINCINNATI, OH, 45202"/>
        <s v="CINCINNATI, OH, 46797"/>
        <s v="MOUNDSVILLE, WV, 26041"/>
        <s v="BUTLER, KY, 41006"/>
        <s v="LOGAN, OH, 43138"/>
        <s v="MILLERSBURG, OH, 44654"/>
        <s v="HOLMESVILLE, OH, 44633"/>
        <s v="CLEVELAND, OH, 44127"/>
        <s v="CAMBRIDGE CITY, IN, 47327"/>
        <s v="CONNERSVILLE, IN, 47331"/>
        <s v="ANGOLA, IN, 46703"/>
        <s v="WOLCOTTVILLE, IN, 46795"/>
        <s v="BOLIVER, OH, 44612"/>
        <s v="DOVER, OH, 44622"/>
        <s v="CALDWELL, OH, 43724"/>
        <s v="UPPER SANDUSKY, OH, 43351"/>
        <s v="BELPRE, OH, 45714"/>
        <s v="WEST MIFFLIN, PA, 15122"/>
        <s v="LORAIN, OH, 44052"/>
        <s v="MARBLEHEAD, OH, 43440"/>
        <s v="PAULDING, OH, 45879"/>
        <s v="LATHAM, OH, 45646"/>
        <s v="ALBANY, OH, 45710"/>
        <s v="OAK HILL, OH, 45656"/>
        <s v="CONNELSVILLE, PA, 15468"/>
        <s v="WICKLIFFE, OH, 44092"/>
        <s v="BESSEMER, PA, 16112"/>
        <s v="BLOOMVILLE, OH, 44818"/>
        <s v="CLEVES, OH, 45002"/>
        <s v="GRAYSON, KY, 41143"/>
        <s v="PEEBLES, OH, 45660"/>
        <s v="CASTALIA, OH, 44824"/>
        <s v="CANTON, OH, 44707"/>
        <s v="MARTINS FERRY, OH, 43935"/>
        <s v="LODI, OH, 44254"/>
        <s v="AKRON, OH, 44305"/>
        <s v="PIKETON, OH, 45661"/>
        <s v="TRIDELPHIA, WV, 26059"/>
        <s v="VERSAILLES, IN, 47042"/>
        <s v="WATERVILLE, OH, 43566"/>
        <s v="WINCHESTER, OH, 45697"/>
        <s v="WOODBURN, IN, 46797"/>
        <s v="GALLIPOLIS FERRY, WV, 25515"/>
        <s v="NORTH BEND, OH, 45052"/>
        <s v="RACINE, OH, 45771"/>
        <s v="PETROLEUM, WV, 26161"/>
        <s v="CEDARVILLE, OH, 45314"/>
        <s v="SPRING VALLEY, OH, 45370"/>
        <s v="MEDWAY, OH, 45341"/>
        <s v="FAIRFIELD, OH, 45014"/>
        <s v="FRANKLIN, OH, 45005"/>
        <s v="HAMILTON, OH, 45011"/>
        <s v="PETERSBURG, KY, 41080"/>
        <s v="BROOKVILLE, OH, 45309"/>
        <s v="ROSS, OH, 45014"/>
        <s v="TRENTON, OH, 45067"/>
        <s v="TROY, OH, 45373"/>
        <s v="XENIA, OH, 45385"/>
        <s v="PERRYSVILLE, OH, 44864"/>
        <s v="ZANESVILLE, OH, 43701"/>
        <s v="HAYDENVILLE, OH, 43127"/>
        <s v="LANCASTER, OH, 43130"/>
        <s v="CHILLICOTHE, OH, 45601"/>
        <s v="DERWENT, OH, 43733"/>
        <s v="AKRON, OH, 44319"/>
        <s v="MOUNT PERRY, OH, 43760"/>
        <s v="WEST SPRINGFIELD, PA, 16443"/>
        <s v="NELSONVILLE, OH, 45764"/>
        <s v="MECHANICSBURG, OH, 43044"/>
        <s v="SABINA, OH, 45169"/>
        <s v="CIRCLEVILLE, OH, 43113"/>
        <s v="WILMINGTON, OH, 45177"/>
        <s v="HARRISON, OH, 45030"/>
        <s v="MIDDLETOWN, OH, 45044"/>
        <s v="WASHINGTON COURT HOUSE, OH, 43160"/>
        <s v="NEW HOLLAND, OH, 43145"/>
        <s v="TIFFIN, OH, 44883"/>
        <s v="MORROW, OH, 45152"/>
        <s v="OLIVE HILL, KY, 41164"/>
        <s v="CINCINNATI, OH, 45203"/>
        <s v="GALLIPOLIS, OH, 45669"/>
        <s v="ST. MARY'S, WV, 26170"/>
        <s v="BELLAIRE, OH, 43906"/>
        <s v="LOCKBOURNE, OH, 43137"/>
        <s v="WAPAKONETA, OH, 45819"/>
        <s v="BUCYRUS, OH, 44820"/>
        <s v="CAMBRIDGE, OH, 43725"/>
        <s v="COSHOCTON, OH, 43812"/>
        <s v="CUYAHOGA HEIGHTS, OH, 44105"/>
        <s v="WOOSTER, OH, 44691"/>
        <s v="CAREY, OH, 43316"/>
        <s v="CADIZ, OH, 43907"/>
        <s v="NEW PHILADELPHIA, OH, 44663"/>
        <s v="AKRON, OH, 44309"/>
        <s v="ERIE, PA, 16505"/>
        <s v="CHESTERVILLE, OH, 43317"/>
        <s v="DELAWARE, OH, 43015"/>
        <s v="DELPHOS, OH, 45833"/>
        <s v="FINDLAY, OH, 45839"/>
        <s v="AKRON, OH, 44301"/>
        <s v="LIMA, OH, 45802"/>
        <s v="MARION, OH, 43302"/>
        <s v="OTTAWA, OH, 45875"/>
        <s v="RIMER, OH, 45830"/>
        <s v="BELLEFONTAINE, OH, 43311"/>
        <s v="KINGSVILLE, OH, 44048"/>
        <s v="MINERAL RIDGE, OH, 44440"/>
        <s v="LEBANON, OH, 45036"/>
        <s v="COLUMBUS, OH, 43207"/>
        <s v="FREDERICKTOWN, OH, 43019"/>
        <s v="ST. LOUISVILLE, OH, 43071"/>
        <s v="TOLEDO, OH, 43605"/>
        <s v="GALLIPOLIS, OH, 45631"/>
        <s v="BOLIVAR, OH, 44612"/>
        <s v="VANDALIA, OH, 45377"/>
        <s v="MAGNOLIA, OH, 44643"/>
        <s v="MINGO JUNCTION, OH, 43938"/>
        <s v="PIQUA, OH, 45356"/>
        <s v="AKRON, OH, 44310"/>
        <s v="FREMONT, OH, 43420"/>
        <s v="PORTAGE, OH, 43451"/>
        <s v="THOMPSON, OH, 44086"/>
        <s v="MARSHALLVILLE, OH, 44645"/>
        <s v="KINGSVILLE, OH, 44068"/>
        <s v="CORNING, OH, 43730"/>
        <s v="BELLE CENTER, OH, 43310"/>
        <s v="GROVE CITY, OH, 43123"/>
        <s v="DRESDEN, OH, 43821"/>
        <s v="EAST FULTONHAM, OH, 43735"/>
        <s v="FOREST, OH, 45843"/>
        <s v="HILLIARD, OH, 43026"/>
        <s v="OSTRANDER, OH, 43061"/>
        <s v="PORTLAND, OH, 45770"/>
        <s v="REEDSVILLE, OH, 45772"/>
        <s v="CORAOPOLIS, PA, 15108"/>
        <s v="MARIETTA, OH, 45770"/>
        <s v="MARIETTA, OH, "/>
        <s v="SPRINGFIELD, OH, 45502"/>
        <s v="ST. LOUISVILLE, OH, 43055"/>
        <s v="STREETSBORO, OH, 44241"/>
        <s v="WEST MANSFIELD, OH, 43358"/>
        <s v="ST. CLAIRSVILLE, OH, 43950"/>
        <s v="NORTH KINGSVILLE, OH, 44068"/>
        <s v="VOLANT, PA, 16156"/>
        <s v="GAMBIER, OH, 43022"/>
        <s v="ROOTSTOWN, OH, 44272"/>
        <s v="BEACH CITY, OH, 44608"/>
        <s v="SALEM, OH, 44460"/>
        <s v="BUTLER, IN, 46721"/>
        <s v="GENOA, OH, 43560"/>
        <s v="GNADENHUTTEN, OH, 44629"/>
        <s v="BYESVILLE, OH, 43723"/>
        <s v="HOAGLAND, IN, 46745"/>
        <s v="GARRETT, IN, 46738"/>
        <s v="ANN ARBOR, MI, 48103"/>
        <s v="HORTON, MI, 49246"/>
        <s v="OTTAWA LAKE, MI, 49267"/>
        <s v="ANN ARBOR, MI, 48130"/>
        <s v="OAKWOOD, OH, 45873"/>
        <s v="CELINA, OH, 45822"/>
        <s v="CLAY CENTER, OH, 43408"/>
        <s v="MAUMEE, OH, 43537"/>
        <s v="CONVOY, OH, 45832"/>
        <s v="MOGADORE, OH, 44620"/>
        <s v="WAMPUM, PA, 16137"/>
        <s v="LUCASVILLE, OH, 45648"/>
        <s v="FRANKFORT, OH, 45628"/>
        <s v="PLAIN CITY, OH, 43064"/>
        <s v="DECATUR, IN, 46733"/>
        <s v="PORTLAND, IN, 47371"/>
        <s v="RIDGEVILLE, IN, 47380"/>
        <s v="DANVILLE, OH, 43104"/>
        <s v="MT. VERNON, OH, 43050"/>
        <s v="URBANA, OH, 43078"/>
        <s v="CINCINNATI, OH, 45241"/>
        <s v="HAMILTON, OH, 45013"/>
        <s v="ST. MARYS, OH, 45885"/>
        <s v="EDGERTON, OH, 43517"/>
        <s v="Lordstown, OH, 44481"/>
        <s v="YOUNGSTOWN, OH, 44514"/>
        <s v="CAMDEN, OH, 45311"/>
        <s v="WEST ALEXANDRIA, OH, 45381"/>
        <s v="NEGLEY, OH, 44441"/>
        <s v="LOUDONVILLE, OH, 44842"/>
      </sharedItems>
    </cacheField>
    <cacheField name="PRODR_SUPP_CD2" numFmtId="0">
      <sharedItems/>
    </cacheField>
    <cacheField name="PHYSICAL ADDR" numFmtId="0">
      <sharedItems count="376">
        <s v="4319 OLD GRAYTON RD"/>
        <s v="1037 BANK ST"/>
        <s v="3320 COLUMBIA RD"/>
        <s v="5585 CANAL RD"/>
        <s v="6001 VROOMAN RD"/>
        <s v="133 CAMPGROUND RD"/>
        <s v="893 MOUNT HOPE FURNACE RD"/>
        <s v="273 STOUGHTON RD"/>
        <s v="390 WARMINGTON RD"/>
        <s v="3350 SAW MILL RD"/>
        <s v="2100 W 3RD ST"/>
        <s v="820 W SMITH RD"/>
        <s v="2000 W BEASON ST"/>
        <s v="4431 W 130TH ST"/>
        <s v="6300 HIGH MILL RD"/>
        <s v="9500 FORTY CORNERS RD"/>
        <s v="1401 WOODSIDE AVE"/>
        <s v="609 CHEWTON-WERTEMBURG RD"/>
        <s v="2645 SAVANNAH RD"/>
        <s v="4438 SR 276"/>
        <s v="659 ANDERSON RD"/>
        <s v="606 EAST 152 ST"/>
        <s v="606 E 152 ST"/>
        <s v="9500 ELIMAN RD"/>
        <s v="8420 WEAVER RD"/>
        <s v="4723 HARDIN WAPAK RD"/>
        <s v="1556 MIAMI RIVER RD"/>
        <s v="4710 SOLDIERS HOME RD"/>
        <s v="10400 HADDIX RD"/>
        <s v="3244 S DAVIS RD"/>
        <s v="5834 INKE RD"/>
        <s v="2820 WEBB RD."/>
        <s v="320 CEMETARY RD"/>
        <s v="45450 SR 7"/>
        <s v="195 WETZEL STREET"/>
        <s v="105 SYCAMORE STREET"/>
        <s v="99 KANAWHA ST"/>
        <s v="11830 RAVENNA RD"/>
        <s v="251 DIVISION ST"/>
        <s v="2409 JOHNSTOWN ALEXANDRIA RD"/>
        <s v="4755 N. SR 721"/>
        <s v="8026 FREMONT PIKE, US 20"/>
        <s v="1149 E. 5TH ST."/>
        <s v="4345 KELLOGG AVE"/>
        <s v="1246 RIVER RD"/>
        <s v="950 FORD AVE"/>
        <s v="2 E. BAY DR."/>
        <s v="1 WILLIAMS STREET"/>
        <s v="9222 SPRINGDALE RD"/>
        <s v="1 INDUSTRIAL PARK DR"/>
        <s v="4260 FREEDOM WAY"/>
        <s v="39002 SR 7"/>
        <s v="48482 S.R. 7"/>
        <s v="66901 EGYPT NORTH RD"/>
        <s v="46450 SR 7"/>
        <s v="2100 CENTRAL FURNACE ROAD"/>
        <s v="1149 E 5TH ST"/>
        <s v="6331 BLOUGH AVE SW"/>
        <s v="3015 COLUMBUS RD NE"/>
        <s v="47278 SWAZEY RD"/>
        <s v="300 OHIO ST EXT"/>
        <s v="SR 534"/>
        <s v="59260 CR 9"/>
        <s v="11600 MAHONING AVENUE"/>
        <s v="2100 W 3RD ST."/>
        <s v="3653 MOGADORE RD"/>
        <s v="53681 SPENCER RD"/>
        <s v="3019 CONGRESS LAKE RD"/>
        <s v="2687 VALLEY RD."/>
        <s v="9042 SR 117"/>
        <s v="9661 SUGAR ST"/>
        <s v="12258 SR 170"/>
        <s v="2166 BLACKWOOD RD"/>
        <s v="17420 SR 124"/>
        <s v="1665 ENON RD"/>
        <s v="4507 TIFFIN AVE"/>
        <s v="2000 W BEESON ST"/>
        <s v="8530 N BOYLE PARKWAY"/>
        <s v="6690 ERVIN RD"/>
        <s v="4455 MT. CARMEL RD"/>
        <s v="7100 CR 189"/>
        <s v="2791 WILDCAT RD"/>
        <s v="6565 CR 9"/>
        <s v="677 S GENOA-CLAY CENTER RD"/>
        <s v="8200 SYLVANIA AVE"/>
        <s v="310 QUARRY DR"/>
        <s v="13500 ALLEN RD"/>
        <s v="24920 PORTAGE RD"/>
        <s v="14791 SR 15"/>
        <s v="1660 CHICAGO RD"/>
        <s v="11671 TRIPP RD"/>
        <s v="8707 ROUND LAKE HWY"/>
        <s v="2372 IVES RD"/>
        <s v="6126 W MAIN ST"/>
        <s v="6126 W. MILLGROVE RD."/>
        <s v="5601 CHERRY ST."/>
        <s v="38824 NATIONAL RD"/>
        <s v="5067 WILLIAMS HIGHWAY"/>
        <s v="511 W. WATER ST."/>
        <s v="6777 KELLOGG AVE"/>
        <s v="1601 LAFAYETTE AVE"/>
        <s v="1405 HIGHWAY 177 E"/>
        <s v="511 W. WATER ST"/>
        <s v="35255 HOCKING DR"/>
        <s v="5366 CR 349"/>
        <s v="7571 SR 83"/>
        <s v="7055 SR 43"/>
        <s v="I-490 &amp; E. 55TH ST"/>
        <s v="14413 W US 40"/>
        <s v="1998 S SR 121"/>
        <s v="225 S 600 W"/>
        <s v="7445 E 400 S"/>
        <s v="16281 HAYDENVILLE RD"/>
        <s v="8195 DOLPHIN ST S.W."/>
        <s v="3596 SR 39 NW"/>
        <s v="41820 PARRISH RIDGE RD"/>
        <s v="4876 CR 43"/>
        <s v="4876 CR43"/>
        <s v="10157 VETO RD"/>
        <s v="4810 BUTTERMILK HOLLOW RD"/>
        <s v="2100 W. 3RD ST"/>
        <s v="650 HARRISON ST"/>
        <s v="1950 IDAHO AVE"/>
        <s v="508 FRONT ST"/>
        <s v="1 COAST GUARD RD"/>
        <s v="831 S QUARRY RD"/>
        <s v="11450 CR 180"/>
        <s v="3498 FROST RD"/>
        <s v="11600 MAHONING AVE"/>
        <s v="6424 S.R. 124"/>
        <s v="3490 SR 50"/>
        <s v="501 ROSCOE RD."/>
        <s v="2200 SPRINGFIELD PIKE"/>
        <s v="30155 EUCLID AVE"/>
        <s v="260 E 300 N"/>
        <s v="146 MCQUISTON LANE"/>
        <s v="4575 SENECA CR 49"/>
        <s v="7000 DRY FORK RD"/>
        <s v="4187 TAYLOR RD"/>
        <s v="14011 SR 9"/>
        <s v="848 PLUM RUN RD"/>
        <s v="9220 PORTLAND RD"/>
        <s v="30155 EUCLID AVENUE"/>
        <s v="1428 WAYNESBURG DR SE"/>
        <s v="1601 N FIRST ST"/>
        <s v="8115 NAVARRE RD SW"/>
        <s v="8217 SEVILLE RD"/>
        <s v="795 N. PROGRESS DR"/>
        <s v="795 N PROGRESS DR"/>
        <s v="124 DARROW RD"/>
        <s v="1181 CHERRY ST"/>
        <s v="3293 SR 23"/>
        <s v="590 SIMS DRIVE"/>
        <s v="4100 CENTENNIAL RD"/>
        <s v="606 W CR 300 S"/>
        <s v="4203 MILAN RD"/>
        <s v="600 S RIVER RD"/>
        <s v="13526 OVERSTAKE RD"/>
        <s v="22821 DAWKINS RD"/>
        <s v="10298 HUNTINGTON RD"/>
        <s v="10905 US HIGHWAY 50"/>
        <s v="50427 SR 124"/>
        <s v="619 Sand Hill Way"/>
        <s v="3744 TURNBULL RD"/>
        <s v="2935 COOK RD"/>
        <s v="12063 LOWER VALLEY PIKE"/>
        <s v="107 RIVER CIRCLE"/>
        <s v="7533 FRANKLIN-TRENTON RD"/>
        <s v="4000 HAMILTON-TRENTON RD"/>
        <s v="3503 BELLEVIEW RD"/>
        <s v="9843 DAYTON-GREENVILLE PIKE"/>
        <s v="3900 KRAUS LANE"/>
        <s v="2900 WOODSDALE RD"/>
        <s v="250 DYE MILL RD"/>
        <s v="1337 DAYTON-XENIA RD"/>
        <s v="4540 SR 39"/>
        <s v="4330 S RIVER RD"/>
        <s v="37561 WANDLING RD"/>
        <s v="29489 CHIEFTAIN DR"/>
        <s v="29489 CHIEFTAN DR"/>
        <s v="3232 LOGAN_LANCASTER RD"/>
        <s v="2952 WEBB RD"/>
        <s v="5701 HIGBY RD"/>
        <s v="11167 CLAY PIKE RD."/>
        <s v="4330 SOUTH RIVER ROAD"/>
        <s v="101 WEST EMERLING AVENUE"/>
        <s v="2775 INDIAN RIVER RD"/>
        <s v="2995 INDIAN RIVER ROAD"/>
        <s v="389 WARMINGTON RD SW"/>
        <s v="6535 OLD TOWN RD"/>
        <s v="12559 SANFORD RD"/>
        <s v="700 SR 278"/>
        <s v="5734 SR 4"/>
        <s v="3659 SR 72 S"/>
        <s v="24267 CANAL RD"/>
        <s v="3250 LINEBAUGH DR"/>
        <s v="228 MELVIN RD"/>
        <s v="251 CALIFORNIA AVE"/>
        <s v="4686 WILMER COURT"/>
        <s v="4345 KELLOG AVE"/>
        <s v="5073 KILBY RD"/>
        <s v="3024 OXFORD SR"/>
        <s v="501 ROSCO RD"/>
        <s v="3333 PLANO RD"/>
        <s v="1803 CHARLES BIERHUP RD"/>
        <s v="13124 CROWNOVER RD"/>
        <s v="1525 CR 42"/>
        <s v="912 E MASON-MORROW-MILGROVE RD"/>
        <s v="7131 FENNER RD"/>
        <s v="2324 CENTERVILLE RD"/>
        <s v="11097 KY ROUTE 2"/>
        <s v="12434 W US 60"/>
        <s v="895 WEST MEHRING WAY"/>
        <s v="1248 STATE ROUTE 7"/>
        <s v="3059 WASHINGTON BOULEVARD"/>
        <s v="P O BOX 356"/>
        <s v="123 DODD DR"/>
        <s v="48482 ST 7"/>
        <s v="5300 GUERNSEY ST"/>
        <s v="PO BOX 356"/>
        <s v="3059 WASHINGTON BLVD."/>
        <s v="14407 TOWNSHIP RD 124"/>
        <s v="9311 US 23"/>
        <s v="18430 MAIN ST RD"/>
        <s v="4580 BETHEL RD"/>
        <s v="61086 SHAW RD"/>
        <s v="47849 PAPERMILL RD"/>
        <s v="4191 E 49TH ST"/>
        <s v="1445 TIMKEN RD"/>
        <s v="1455 TIMKEN RD"/>
        <s v="370 N PATTERSON ST"/>
        <s v="80870 UNIONVALE-KENWOOD RD"/>
        <s v="1601 N. FIRST ST."/>
        <s v="2942 BRIGHTWOOD RD"/>
        <s v="101 W EMERLING AVE"/>
        <s v="80870 UNIONVALE-KENWOOD RD."/>
        <s v="1681 W 16TH ST"/>
        <s v="8115 NAVARRE RD. SW"/>
        <s v="7250 SR 95 E"/>
        <s v="2406 S SECTION LINE RD"/>
        <s v="2406 S. SECTION LINE RD."/>
        <s v="24384A SR 697"/>
        <s v="9860 CR 313"/>
        <s v="1314 FINDLAY RD"/>
        <s v="1428 WAYNESBURG DRIVE SOUTHEAST"/>
        <s v="47849 PAPERMILL ROAD"/>
        <s v="2942 BRIGHTWOOD ROAD"/>
        <s v="1445 TIMKEN ROAD"/>
        <s v="700 LIKENS RD"/>
        <s v="7053 ROAD M"/>
        <s v="18264 SR 189"/>
        <s v="1154 1445 TIMKEN ROAD"/>
        <s v="4859 CO RD 45"/>
        <s v="5720 ROUTE 193"/>
        <s v="1311 SALT SPRINGS RD"/>
        <s v="3743 BELLVIEW RD"/>
        <s v="1000 W MASON MORROW MILLGROVE RD"/>
        <s v="8591 MAD RIVER RD."/>
        <s v="4755 S. HIGH ST"/>
        <s v="4755 S HIGH ST"/>
        <s v="11624 HYATT RD"/>
        <s v="9134 MT VERNON RD"/>
        <s v="6326 CH 61"/>
        <s v="3001 PRAIRIE LANE RD"/>
        <s v="4686 WILMER CT"/>
        <s v="3518 ST LAWRENCE DR"/>
        <s v="1248 SR 7"/>
        <s v="3828 DUDLEY ROAD"/>
        <s v="3467 DOVER-ZOAR RD"/>
        <s v="1955 RIVERSIDE DR"/>
        <s v="555 OLD SPRINGFIELD RD"/>
        <s v="30 HAINES RD"/>
        <s v="10825 IMPERIAL RD NW"/>
        <s v="3422 HARDING HIGHWAY E"/>
        <s v="700 TWP RD 167A"/>
        <s v="1750 W STATLER RD"/>
        <s v="550 DAN ST"/>
        <s v="100 N BRUSH ST"/>
        <s v="12580 GREENSBURG PIKE"/>
        <s v="6910 MADISON RD"/>
        <s v="59894 CR 9"/>
        <s v="18228 FULTON RD"/>
        <s v="3062 E CENTER ST"/>
        <s v="1425 SR 555 NE"/>
        <s v="1558 CR 105"/>
        <s v="1177 HOPETOWN RD"/>
        <s v="3232 LOGAN-LANCASTER RD"/>
        <s v="3300 JACKSON PIKE"/>
        <s v="45500 COUNTY RD 23"/>
        <s v="45500 CR 23"/>
        <s v="45500 COUNTY ROAD 23"/>
        <s v="1985 GENE COX MEMORIAL DR"/>
        <s v="6305 SALTILLO RD SR 345"/>
        <s v="11167 CLAY PIKE RD"/>
        <s v="3798 SR 53"/>
        <s v="550 ROWE RD"/>
        <s v="2650 OLD DUBLIN RD"/>
        <s v="8328 WATKINS RD"/>
        <s v="54301 MCDADE RD"/>
        <s v="64584 SR 124"/>
        <s v="819 PENNSYLVAIA AVE"/>
        <s v="30222 SR 7"/>
        <s v="4301 S CHARLESTON PIKE"/>
        <s v="6824 MOUNT VERNON RD"/>
        <s v="8505 SR 14"/>
        <s v="28855 SR 739"/>
        <s v="68340 BARTON BLAINE RD"/>
        <s v="21945 BRIGHTWOOD RD SE"/>
        <s v="82950 Cadiz-Jewitt Rd"/>
        <s v="72607 GUN CLUB RD"/>
        <s v="3052 E CENTER ST"/>
        <s v="704 GOLF COURSE RD"/>
        <s v="10299 KILLDUFF RD"/>
        <s v="2830 TALLMADGE RD"/>
        <s v="10449 SOEHNLEN RD NW"/>
        <s v="7219 SALEM-UNITY RD"/>
        <s v="3877 US 23"/>
        <s v="4225 CR 79"/>
        <s v="677 SOUTH GENOA-CLAY CENTER RD."/>
        <s v="2615 W 3RD ST"/>
        <s v="7574 SR 36"/>
        <s v="8669 SR 36"/>
        <s v="59903 VOCATIONAL RD."/>
        <s v="5536 HOAGLAND RD"/>
        <s v="663 SR 8"/>
        <s v="13484 YOUNSGSTOWN-PITTSBURGH  RD"/>
        <s v="6068 STEINBACH ROAD"/>
        <s v="8760 E CHICAGO RD"/>
        <s v="7555 WHITEFORD RD"/>
        <s v="2575 S ANN ARBOR RD"/>
        <s v="13762 CR 179"/>
        <s v="6430 KARSH RD"/>
        <s v="6430 KARCH RD"/>
        <s v="3800 N BOLANDER RD"/>
        <s v="2000 W. BEESON ST"/>
        <s v="1360 FORD ST"/>
        <s v="11580 SOUTH DIXIE HIGHWAY, SR 25"/>
        <s v="2364 RICHEY RD"/>
        <s v="5455 E GARFIELD RD"/>
        <s v="1400 FOX LANE"/>
        <s v="144 BRANDON RD"/>
        <s v="1288 REESE RD"/>
        <s v="3118 WAMPUM RD"/>
        <s v="411 OBERLIN AVE SW"/>
        <s v="411 OBERLIN RD."/>
        <s v="12360 S.R. 104"/>
        <s v="15751 SR 28"/>
        <s v="12360 SR 104"/>
        <s v="8195 OLD SR 161"/>
        <s v="699 S 500 E"/>
        <s v="2228 W 125 S"/>
        <s v="6340 SR 121"/>
        <s v="1972 W SR 26"/>
        <s v="16364 MILLERSBURG RD"/>
        <s v="14220 PARROTT ST"/>
        <s v="1261 MUZZY RD"/>
        <s v="11641 MOSTELLER RD"/>
        <s v="3495 HOLLANSBURG SAMPSON RD"/>
        <s v="4809 E MIAMI RIVER RD"/>
        <s v="10569 SUSPENSION BRIDGE RD"/>
        <s v="2100 S MAIN ST"/>
        <s v="2728 HAMILTON-CLEVES RD"/>
        <s v="16672 CR 66A"/>
        <s v="02702 CR 3B"/>
        <s v="9330 ECKHART RD"/>
        <s v="11489 HAMILTON CLEVES HIGHWAY"/>
        <s v="19522 LONDON RD"/>
        <s v="1300 CASSINGHAM HOLLOW RD"/>
        <s v="1794 CR 99"/>
        <s v="7364 Tod Avenue Southwest"/>
        <s v="151 DIVISION STREET"/>
        <s v="27226 GLENWOOD RD"/>
        <s v="230 CAMDEN COLLEGE CORNER RD"/>
        <s v="2032 SR 503 N"/>
        <s v="8110 SR 170"/>
        <s v="689 SR 39 W"/>
      </sharedItems>
    </cacheField>
    <cacheField name="DISTRICT" numFmtId="0">
      <sharedItems count="12">
        <s v="12"/>
        <s v="04"/>
        <s v="03"/>
        <s v="09"/>
        <s v="08"/>
        <s v="02"/>
        <s v="07"/>
        <s v="10"/>
        <s v="05"/>
        <s v="11"/>
        <s v="01"/>
        <s v="06"/>
      </sharedItems>
    </cacheField>
    <cacheField name="COUNTY" numFmtId="0">
      <sharedItems count="90">
        <s v="CUY"/>
        <s v="LAK"/>
        <s v="SUM"/>
        <s v="XXX"/>
        <s v="PENN"/>
        <s v="STA"/>
        <s v="MED"/>
        <s v="CLE"/>
        <s v="SAN"/>
        <s v="POR"/>
        <s v="SHE"/>
        <s v="MOT"/>
        <s v="CLA"/>
        <s v="MIA"/>
        <s v="NOB"/>
        <s v="WAS"/>
        <s v="GEA"/>
        <s v="MAH"/>
        <s v="LIC"/>
        <s v="LUC"/>
        <s v="ATB"/>
        <s v="HAM"/>
        <s v=""/>
        <s v="WV"/>
        <s v="MOE"/>
        <s v="BEL"/>
        <s v="COS"/>
        <s v="GUE"/>
        <s v="LOG"/>
        <s v="ATH"/>
        <s v="JAC"/>
        <s v="ERI"/>
        <s v="HIG"/>
        <s v="HOL"/>
        <s v="DAR"/>
        <s v="FUL"/>
        <s v="OTT"/>
        <s v="ALL"/>
        <s v="WOO"/>
        <s v="WIL"/>
        <s v="MICH"/>
        <s v="HEN"/>
        <s v="KY"/>
        <s v="HOC"/>
        <s v="IND"/>
        <s v="TUS"/>
        <s v="WYA"/>
        <s v="LOR"/>
        <s v="PAU"/>
        <s v="PIK"/>
        <s v="SEN"/>
        <s v="ADA"/>
        <s v="BRO"/>
        <s v="HAS"/>
        <s v="MEG"/>
        <s v="GRE"/>
        <s v="BUT"/>
        <s v="WAR"/>
        <s v="RIC"/>
        <s v="MUS"/>
        <s v="FAI"/>
        <s v="ROS"/>
        <s v="PER"/>
        <s v="CHP"/>
        <s v="PIC"/>
        <s v="CLI"/>
        <s v="FAY"/>
        <s v="MAD"/>
        <s v="GAL"/>
        <s v="FRA"/>
        <s v="AUG"/>
        <s v="CRA"/>
        <s v="WAY"/>
        <s v="MRW"/>
        <s v="DEL"/>
        <s v="VAN"/>
        <s v="HAN"/>
        <s v="MAR"/>
        <s v="PUT"/>
        <s v="TRU"/>
        <s v="KNO"/>
        <s v="CAR"/>
        <s v="JEF"/>
        <s v="HAR"/>
        <s v="UNI"/>
        <s v="COL"/>
        <s v="MER"/>
        <s v="SCI"/>
        <s v="PRE"/>
        <s v="ASD"/>
      </sharedItems>
    </cacheField>
    <cacheField name="CITY_NM" numFmtId="0">
      <sharedItems/>
    </cacheField>
    <cacheField name="ST_PRVCE" numFmtId="0">
      <sharedItems count="6">
        <s v="OH"/>
        <s v="PA"/>
        <s v="IN"/>
        <s v="WV"/>
        <s v="KY"/>
        <s v="MI"/>
      </sharedItems>
    </cacheField>
    <cacheField name="POSTAL_CD" numFmtId="0">
      <sharedItems/>
    </cacheField>
  </cacheFields>
  <extLst>
    <ext xmlns:x14="http://schemas.microsoft.com/office/spreadsheetml/2009/9/main" uri="{725AE2AE-9491-48be-B2B4-4EB974FC3084}">
      <x14:pivotCacheDefinition pivotCacheId="15790744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3">
  <r>
    <x v="0"/>
    <x v="0"/>
    <x v="0"/>
    <x v="0"/>
    <s v="05152-01"/>
    <x v="0"/>
    <x v="0"/>
    <x v="0"/>
    <s v="CLEVELAND"/>
    <x v="0"/>
    <s v="44125"/>
  </r>
  <r>
    <x v="1"/>
    <x v="1"/>
    <x v="1"/>
    <x v="1"/>
    <s v="05150-01"/>
    <x v="1"/>
    <x v="0"/>
    <x v="1"/>
    <s v="PAINESVILLE"/>
    <x v="0"/>
    <s v="44077"/>
  </r>
  <r>
    <x v="2"/>
    <x v="2"/>
    <x v="2"/>
    <x v="2"/>
    <s v="04326-01"/>
    <x v="2"/>
    <x v="1"/>
    <x v="2"/>
    <s v="RICHFIELD"/>
    <x v="0"/>
    <s v="44286"/>
  </r>
  <r>
    <x v="3"/>
    <x v="3"/>
    <x v="3"/>
    <x v="3"/>
    <s v="05151-01"/>
    <x v="3"/>
    <x v="0"/>
    <x v="0"/>
    <s v="VALLEY VIEW"/>
    <x v="0"/>
    <s v="44125"/>
  </r>
  <r>
    <x v="4"/>
    <x v="4"/>
    <x v="4"/>
    <x v="1"/>
    <s v="05155-01"/>
    <x v="4"/>
    <x v="0"/>
    <x v="1"/>
    <s v="PAINESVILLE"/>
    <x v="0"/>
    <s v="44077"/>
  </r>
  <r>
    <x v="5"/>
    <x v="5"/>
    <x v="5"/>
    <x v="4"/>
    <s v="04385-01"/>
    <x v="5"/>
    <x v="1"/>
    <x v="3"/>
    <s v="HARRISVILLE"/>
    <x v="1"/>
    <s v="16088"/>
  </r>
  <r>
    <x v="6"/>
    <x v="6"/>
    <x v="6"/>
    <x v="5"/>
    <s v="04392-01"/>
    <x v="6"/>
    <x v="1"/>
    <x v="4"/>
    <s v="PORTERSVILLE"/>
    <x v="1"/>
    <s v="16051"/>
  </r>
  <r>
    <x v="7"/>
    <x v="7"/>
    <x v="7"/>
    <x v="6"/>
    <s v="04376-01"/>
    <x v="7"/>
    <x v="1"/>
    <x v="3"/>
    <s v="SLIPPERY ROCK"/>
    <x v="1"/>
    <s v="16057"/>
  </r>
  <r>
    <x v="8"/>
    <x v="8"/>
    <x v="8"/>
    <x v="7"/>
    <s v="04339-01"/>
    <x v="8"/>
    <x v="1"/>
    <x v="5"/>
    <s v="MASSILION"/>
    <x v="0"/>
    <s v="44646"/>
  </r>
  <r>
    <x v="9"/>
    <x v="9"/>
    <x v="9"/>
    <x v="8"/>
    <s v="04339-42"/>
    <x v="9"/>
    <x v="1"/>
    <x v="2"/>
    <s v="COPLEY"/>
    <x v="0"/>
    <s v="44321"/>
  </r>
  <r>
    <x v="10"/>
    <x v="10"/>
    <x v="10"/>
    <x v="9"/>
    <s v="04339-04"/>
    <x v="10"/>
    <x v="0"/>
    <x v="0"/>
    <s v="CLEVELAND"/>
    <x v="0"/>
    <s v="44113"/>
  </r>
  <r>
    <x v="11"/>
    <x v="11"/>
    <x v="11"/>
    <x v="10"/>
    <s v="04339-55"/>
    <x v="11"/>
    <x v="2"/>
    <x v="6"/>
    <s v="MEDINA"/>
    <x v="0"/>
    <s v="44256"/>
  </r>
  <r>
    <x v="12"/>
    <x v="12"/>
    <x v="12"/>
    <x v="11"/>
    <s v="04372-13"/>
    <x v="12"/>
    <x v="1"/>
    <x v="5"/>
    <s v="ALLIANCE"/>
    <x v="0"/>
    <s v="44601"/>
  </r>
  <r>
    <x v="13"/>
    <x v="13"/>
    <x v="13"/>
    <x v="12"/>
    <s v="04339-69"/>
    <x v="13"/>
    <x v="0"/>
    <x v="0"/>
    <s v="CLEVELAND"/>
    <x v="0"/>
    <s v="44135"/>
  </r>
  <r>
    <x v="14"/>
    <x v="14"/>
    <x v="14"/>
    <x v="12"/>
    <s v="04372-69"/>
    <x v="13"/>
    <x v="0"/>
    <x v="0"/>
    <s v="CLEVELAND"/>
    <x v="0"/>
    <s v="44135"/>
  </r>
  <r>
    <x v="15"/>
    <x v="15"/>
    <x v="15"/>
    <x v="13"/>
    <s v="04381-01"/>
    <x v="14"/>
    <x v="1"/>
    <x v="5"/>
    <s v="MASSILLON"/>
    <x v="0"/>
    <s v="44646"/>
  </r>
  <r>
    <x v="16"/>
    <x v="16"/>
    <x v="16"/>
    <x v="14"/>
    <s v="04303-01"/>
    <x v="15"/>
    <x v="1"/>
    <x v="5"/>
    <s v="MASSILLON"/>
    <x v="0"/>
    <s v="44647"/>
  </r>
  <r>
    <x v="17"/>
    <x v="17"/>
    <x v="17"/>
    <x v="10"/>
    <s v="04303-55"/>
    <x v="11"/>
    <x v="2"/>
    <x v="6"/>
    <s v="MEDINA"/>
    <x v="0"/>
    <s v="44256"/>
  </r>
  <r>
    <x v="18"/>
    <x v="18"/>
    <x v="18"/>
    <x v="15"/>
    <s v="04386-01"/>
    <x v="16"/>
    <x v="3"/>
    <x v="3"/>
    <s v="ELLWOOD CITY"/>
    <x v="1"/>
    <s v="16117"/>
  </r>
  <r>
    <x v="19"/>
    <x v="19"/>
    <x v="19"/>
    <x v="16"/>
    <s v="04304-01"/>
    <x v="17"/>
    <x v="1"/>
    <x v="4"/>
    <s v="WAMPUM"/>
    <x v="1"/>
    <s v="16157"/>
  </r>
  <r>
    <x v="20"/>
    <x v="20"/>
    <x v="20"/>
    <x v="17"/>
    <s v="04384-01"/>
    <x v="18"/>
    <x v="1"/>
    <x v="3"/>
    <s v="NEW CASTLE"/>
    <x v="1"/>
    <s v="16101"/>
  </r>
  <r>
    <x v="21"/>
    <x v="21"/>
    <x v="21"/>
    <x v="18"/>
    <s v="04791-01"/>
    <x v="19"/>
    <x v="4"/>
    <x v="7"/>
    <s v="BATAVIA"/>
    <x v="0"/>
    <s v="45103"/>
  </r>
  <r>
    <x v="21"/>
    <x v="21"/>
    <x v="22"/>
    <x v="18"/>
    <s v="4791A-01"/>
    <x v="19"/>
    <x v="4"/>
    <x v="7"/>
    <s v="BATAVIA"/>
    <x v="0"/>
    <s v="45103"/>
  </r>
  <r>
    <x v="22"/>
    <x v="22"/>
    <x v="23"/>
    <x v="19"/>
    <s v="04163-01"/>
    <x v="20"/>
    <x v="5"/>
    <x v="8"/>
    <s v="WOODVILLE"/>
    <x v="0"/>
    <s v="43469"/>
  </r>
  <r>
    <x v="22"/>
    <x v="22"/>
    <x v="24"/>
    <x v="19"/>
    <s v="4163A-01"/>
    <x v="20"/>
    <x v="5"/>
    <x v="8"/>
    <s v="WOODVILLE"/>
    <x v="0"/>
    <s v="43469"/>
  </r>
  <r>
    <x v="23"/>
    <x v="23"/>
    <x v="25"/>
    <x v="20"/>
    <s v="04163-66"/>
    <x v="21"/>
    <x v="0"/>
    <x v="0"/>
    <s v="CLEVELAND"/>
    <x v="0"/>
    <s v="44110"/>
  </r>
  <r>
    <x v="23"/>
    <x v="23"/>
    <x v="26"/>
    <x v="20"/>
    <s v="4163A-66"/>
    <x v="22"/>
    <x v="0"/>
    <x v="0"/>
    <s v="CLEVELAND"/>
    <x v="0"/>
    <s v="44110"/>
  </r>
  <r>
    <x v="24"/>
    <x v="24"/>
    <x v="27"/>
    <x v="21"/>
    <s v="04309-01"/>
    <x v="23"/>
    <x v="1"/>
    <x v="9"/>
    <s v="MANTUA"/>
    <x v="0"/>
    <s v="44255"/>
  </r>
  <r>
    <x v="25"/>
    <x v="25"/>
    <x v="28"/>
    <x v="22"/>
    <s v="04378-01"/>
    <x v="24"/>
    <x v="1"/>
    <x v="9"/>
    <s v="RAVENNA"/>
    <x v="0"/>
    <s v="44266"/>
  </r>
  <r>
    <x v="26"/>
    <x v="26"/>
    <x v="29"/>
    <x v="23"/>
    <s v="04624-01"/>
    <x v="25"/>
    <x v="6"/>
    <x v="10"/>
    <s v="SIDNEY"/>
    <x v="0"/>
    <s v="45365"/>
  </r>
  <r>
    <x v="27"/>
    <x v="27"/>
    <x v="30"/>
    <x v="23"/>
    <s v="4623B-01"/>
    <x v="26"/>
    <x v="6"/>
    <x v="10"/>
    <s v="SIDNEY"/>
    <x v="0"/>
    <s v="45365"/>
  </r>
  <r>
    <x v="28"/>
    <x v="28"/>
    <x v="31"/>
    <x v="24"/>
    <s v="04613-01"/>
    <x v="27"/>
    <x v="6"/>
    <x v="11"/>
    <s v="MIAMISBURG"/>
    <x v="0"/>
    <s v="45342"/>
  </r>
  <r>
    <x v="28"/>
    <x v="28"/>
    <x v="32"/>
    <x v="24"/>
    <s v="4613A-01"/>
    <x v="27"/>
    <x v="6"/>
    <x v="11"/>
    <s v="MIAMISBURG"/>
    <x v="0"/>
    <s v="45342"/>
  </r>
  <r>
    <x v="29"/>
    <x v="29"/>
    <x v="33"/>
    <x v="25"/>
    <s v="04608-01"/>
    <x v="28"/>
    <x v="6"/>
    <x v="12"/>
    <s v="FAIRBORN"/>
    <x v="0"/>
    <s v="45324"/>
  </r>
  <r>
    <x v="29"/>
    <x v="29"/>
    <x v="34"/>
    <x v="25"/>
    <s v="4608A-01"/>
    <x v="28"/>
    <x v="6"/>
    <x v="12"/>
    <s v="FAIRBORN"/>
    <x v="0"/>
    <s v="45324"/>
  </r>
  <r>
    <x v="30"/>
    <x v="30"/>
    <x v="35"/>
    <x v="26"/>
    <s v="04609-01"/>
    <x v="29"/>
    <x v="6"/>
    <x v="13"/>
    <s v="LUDLOW FALLS"/>
    <x v="0"/>
    <s v="45339"/>
  </r>
  <r>
    <x v="31"/>
    <x v="31"/>
    <x v="36"/>
    <x v="27"/>
    <s v="04747-01"/>
    <x v="30"/>
    <x v="4"/>
    <x v="3"/>
    <s v="RICHMOND"/>
    <x v="2"/>
    <s v="47374"/>
  </r>
  <r>
    <x v="31"/>
    <x v="31"/>
    <x v="37"/>
    <x v="27"/>
    <s v="4747A-01"/>
    <x v="30"/>
    <x v="4"/>
    <x v="3"/>
    <s v="RICHMOND"/>
    <x v="2"/>
    <s v="47374"/>
  </r>
  <r>
    <x v="32"/>
    <x v="32"/>
    <x v="38"/>
    <x v="22"/>
    <s v="04305-01"/>
    <x v="31"/>
    <x v="1"/>
    <x v="9"/>
    <s v="RAVENNA"/>
    <x v="0"/>
    <s v="44266"/>
  </r>
  <r>
    <x v="33"/>
    <x v="33"/>
    <x v="39"/>
    <x v="28"/>
    <s v="04950-01"/>
    <x v="32"/>
    <x v="7"/>
    <x v="14"/>
    <s v="LITTLE HOCKING"/>
    <x v="0"/>
    <s v="45742"/>
  </r>
  <r>
    <x v="33"/>
    <x v="33"/>
    <x v="40"/>
    <x v="28"/>
    <s v="4950A-01"/>
    <x v="32"/>
    <x v="7"/>
    <x v="14"/>
    <s v="LITTLE HOCKING"/>
    <x v="0"/>
    <s v="45742"/>
  </r>
  <r>
    <x v="34"/>
    <x v="34"/>
    <x v="41"/>
    <x v="29"/>
    <s v="04950-45"/>
    <x v="33"/>
    <x v="7"/>
    <x v="15"/>
    <s v="MARIETTA"/>
    <x v="0"/>
    <s v="45750"/>
  </r>
  <r>
    <x v="35"/>
    <x v="35"/>
    <x v="42"/>
    <x v="30"/>
    <s v="04950-39"/>
    <x v="34"/>
    <x v="7"/>
    <x v="3"/>
    <s v="NEW MARTINSVILLE"/>
    <x v="3"/>
    <s v="26155"/>
  </r>
  <r>
    <x v="36"/>
    <x v="36"/>
    <x v="43"/>
    <x v="31"/>
    <s v="04950-17"/>
    <x v="35"/>
    <x v="7"/>
    <x v="3"/>
    <s v="RAVENSWOOD"/>
    <x v="3"/>
    <s v="26164"/>
  </r>
  <r>
    <x v="37"/>
    <x v="37"/>
    <x v="44"/>
    <x v="32"/>
    <s v="04950-14"/>
    <x v="36"/>
    <x v="7"/>
    <x v="3"/>
    <s v="PARKERSBURG"/>
    <x v="3"/>
    <s v="26101"/>
  </r>
  <r>
    <x v="38"/>
    <x v="38"/>
    <x v="45"/>
    <x v="33"/>
    <s v="05107-01"/>
    <x v="37"/>
    <x v="0"/>
    <x v="16"/>
    <s v="CHARDON"/>
    <x v="0"/>
    <s v="44024"/>
  </r>
  <r>
    <x v="39"/>
    <x v="39"/>
    <x v="46"/>
    <x v="34"/>
    <s v="04348-01"/>
    <x v="38"/>
    <x v="1"/>
    <x v="17"/>
    <s v="YOUNGSTOWN"/>
    <x v="0"/>
    <s v="44502"/>
  </r>
  <r>
    <x v="40"/>
    <x v="40"/>
    <x v="47"/>
    <x v="35"/>
    <s v="04430-01"/>
    <x v="39"/>
    <x v="8"/>
    <x v="18"/>
    <s v="ALEXANDRIA"/>
    <x v="0"/>
    <s v="43001"/>
  </r>
  <r>
    <x v="41"/>
    <x v="41"/>
    <x v="48"/>
    <x v="36"/>
    <s v="04631-01"/>
    <x v="40"/>
    <x v="6"/>
    <x v="13"/>
    <s v="BRADFORD"/>
    <x v="0"/>
    <s v="45308"/>
  </r>
  <r>
    <x v="42"/>
    <x v="42"/>
    <x v="49"/>
    <x v="37"/>
    <s v="04158-01"/>
    <x v="41"/>
    <x v="5"/>
    <x v="19"/>
    <s v="PERRYSBURG"/>
    <x v="0"/>
    <s v="43551"/>
  </r>
  <r>
    <x v="43"/>
    <x v="43"/>
    <x v="50"/>
    <x v="38"/>
    <s v="05115-31"/>
    <x v="42"/>
    <x v="1"/>
    <x v="20"/>
    <s v="ASHTABULA"/>
    <x v="0"/>
    <s v="44004"/>
  </r>
  <r>
    <x v="44"/>
    <x v="44"/>
    <x v="51"/>
    <x v="31"/>
    <s v="4738A-17"/>
    <x v="35"/>
    <x v="7"/>
    <x v="3"/>
    <s v="RAVENSWOOD"/>
    <x v="3"/>
    <s v="26164"/>
  </r>
  <r>
    <x v="45"/>
    <x v="45"/>
    <x v="52"/>
    <x v="30"/>
    <s v="04741-39"/>
    <x v="34"/>
    <x v="7"/>
    <x v="3"/>
    <s v="NEW MARTINSVILLE"/>
    <x v="3"/>
    <s v="26155"/>
  </r>
  <r>
    <x v="46"/>
    <x v="46"/>
    <x v="53"/>
    <x v="39"/>
    <s v="04741-16"/>
    <x v="43"/>
    <x v="4"/>
    <x v="21"/>
    <s v="CINCINNATI"/>
    <x v="0"/>
    <s v="45226"/>
  </r>
  <r>
    <x v="47"/>
    <x v="47"/>
    <x v="54"/>
    <x v="32"/>
    <s v="04741-14"/>
    <x v="36"/>
    <x v="7"/>
    <x v="3"/>
    <s v="PARKERSBURG"/>
    <x v="3"/>
    <s v="26101"/>
  </r>
  <r>
    <x v="48"/>
    <x v="48"/>
    <x v="55"/>
    <x v="9"/>
    <s v="05116-23"/>
    <x v="44"/>
    <x v="0"/>
    <x v="0"/>
    <s v="CLEVELAND"/>
    <x v="0"/>
    <s v="44113"/>
  </r>
  <r>
    <x v="49"/>
    <x v="49"/>
    <x v="56"/>
    <x v="40"/>
    <s v="05116-30"/>
    <x v="45"/>
    <x v="1"/>
    <x v="20"/>
    <s v="CONNEAUT"/>
    <x v="0"/>
    <s v="44030"/>
  </r>
  <r>
    <x v="50"/>
    <x v="50"/>
    <x v="57"/>
    <x v="41"/>
    <s v="05115-72"/>
    <x v="46"/>
    <x v="1"/>
    <x v="22"/>
    <s v="ERIE"/>
    <x v="1"/>
    <s v="16512"/>
  </r>
  <r>
    <x v="51"/>
    <x v="51"/>
    <x v="58"/>
    <x v="9"/>
    <s v="05115-23"/>
    <x v="44"/>
    <x v="0"/>
    <x v="0"/>
    <s v="CLEVELAND"/>
    <x v="0"/>
    <s v="44113"/>
  </r>
  <r>
    <x v="52"/>
    <x v="52"/>
    <x v="59"/>
    <x v="42"/>
    <s v="05115-25"/>
    <x v="47"/>
    <x v="0"/>
    <x v="0"/>
    <s v="GRAND RIVER"/>
    <x v="0"/>
    <s v="44045"/>
  </r>
  <r>
    <x v="53"/>
    <x v="53"/>
    <x v="60"/>
    <x v="40"/>
    <s v="05115-30"/>
    <x v="45"/>
    <x v="1"/>
    <x v="20"/>
    <s v="CONNEAUT"/>
    <x v="0"/>
    <s v="44030"/>
  </r>
  <r>
    <x v="54"/>
    <x v="54"/>
    <x v="61"/>
    <x v="9"/>
    <s v="05115-04"/>
    <x v="10"/>
    <x v="0"/>
    <x v="0"/>
    <s v="CLEVELAND"/>
    <x v="0"/>
    <s v="44113"/>
  </r>
  <r>
    <x v="55"/>
    <x v="55"/>
    <x v="62"/>
    <x v="43"/>
    <s v="04738-57"/>
    <x v="48"/>
    <x v="3"/>
    <x v="3"/>
    <s v="MAYSVILLE"/>
    <x v="4"/>
    <s v="41056"/>
  </r>
  <r>
    <x v="56"/>
    <x v="56"/>
    <x v="63"/>
    <x v="39"/>
    <s v="04738-16"/>
    <x v="43"/>
    <x v="4"/>
    <x v="21"/>
    <s v="CINCINNATI"/>
    <x v="0"/>
    <s v="45226"/>
  </r>
  <r>
    <x v="57"/>
    <x v="57"/>
    <x v="64"/>
    <x v="32"/>
    <s v="04738-14"/>
    <x v="36"/>
    <x v="7"/>
    <x v="3"/>
    <s v="PARKERSBURG"/>
    <x v="3"/>
    <s v="26101"/>
  </r>
  <r>
    <x v="58"/>
    <x v="58"/>
    <x v="65"/>
    <x v="30"/>
    <s v="04738-39"/>
    <x v="34"/>
    <x v="7"/>
    <x v="3"/>
    <s v="NEW MARTINSVILLE"/>
    <x v="3"/>
    <s v="26155"/>
  </r>
  <r>
    <x v="59"/>
    <x v="59"/>
    <x v="66"/>
    <x v="31"/>
    <s v="04738-17"/>
    <x v="35"/>
    <x v="7"/>
    <x v="3"/>
    <s v="RAVENSWOOD"/>
    <x v="3"/>
    <s v="26164"/>
  </r>
  <r>
    <x v="60"/>
    <x v="60"/>
    <x v="67"/>
    <x v="44"/>
    <s v="04738-44"/>
    <x v="49"/>
    <x v="3"/>
    <x v="3"/>
    <s v="BENWOOD"/>
    <x v="3"/>
    <s v="26031"/>
  </r>
  <r>
    <x v="61"/>
    <x v="61"/>
    <x v="68"/>
    <x v="45"/>
    <s v="04738-12"/>
    <x v="50"/>
    <x v="9"/>
    <x v="23"/>
    <s v="WEIRTON"/>
    <x v="3"/>
    <s v="26062"/>
  </r>
  <r>
    <x v="62"/>
    <x v="62"/>
    <x v="69"/>
    <x v="46"/>
    <s v="04738-81"/>
    <x v="51"/>
    <x v="9"/>
    <x v="24"/>
    <s v="SARDIS"/>
    <x v="0"/>
    <s v="43946"/>
  </r>
  <r>
    <x v="63"/>
    <x v="63"/>
    <x v="70"/>
    <x v="47"/>
    <s v="04738-82"/>
    <x v="52"/>
    <x v="7"/>
    <x v="24"/>
    <s v="CLARINGTON"/>
    <x v="0"/>
    <s v="43915"/>
  </r>
  <r>
    <x v="64"/>
    <x v="64"/>
    <x v="71"/>
    <x v="48"/>
    <s v="04738-99"/>
    <x v="53"/>
    <x v="3"/>
    <x v="25"/>
    <s v="MORRISTOWN"/>
    <x v="0"/>
    <s v="43759"/>
  </r>
  <r>
    <x v="65"/>
    <x v="65"/>
    <x v="72"/>
    <x v="49"/>
    <s v="04738-89"/>
    <x v="54"/>
    <x v="7"/>
    <x v="15"/>
    <s v="NEW MATAMORAS"/>
    <x v="0"/>
    <s v="45767"/>
  </r>
  <r>
    <x v="66"/>
    <x v="66"/>
    <x v="73"/>
    <x v="9"/>
    <s v="05106-23"/>
    <x v="44"/>
    <x v="0"/>
    <x v="0"/>
    <s v="CLEVELAND"/>
    <x v="0"/>
    <s v="44113"/>
  </r>
  <r>
    <x v="67"/>
    <x v="67"/>
    <x v="74"/>
    <x v="50"/>
    <s v="05106-28"/>
    <x v="55"/>
    <x v="0"/>
    <x v="0"/>
    <s v="CLEVELAND"/>
    <x v="0"/>
    <s v="44115"/>
  </r>
  <r>
    <x v="68"/>
    <x v="68"/>
    <x v="75"/>
    <x v="42"/>
    <s v="05106-25"/>
    <x v="47"/>
    <x v="0"/>
    <x v="1"/>
    <s v="GRAND RIVER"/>
    <x v="0"/>
    <s v="44045"/>
  </r>
  <r>
    <x v="69"/>
    <x v="69"/>
    <x v="76"/>
    <x v="40"/>
    <s v="05106-30"/>
    <x v="45"/>
    <x v="1"/>
    <x v="20"/>
    <s v="CONNEAUT"/>
    <x v="0"/>
    <s v="44030"/>
  </r>
  <r>
    <x v="70"/>
    <x v="70"/>
    <x v="77"/>
    <x v="38"/>
    <s v="05106-31"/>
    <x v="56"/>
    <x v="1"/>
    <x v="20"/>
    <s v="ASHTABULA"/>
    <x v="0"/>
    <s v="44004"/>
  </r>
  <r>
    <x v="71"/>
    <x v="71"/>
    <x v="78"/>
    <x v="31"/>
    <s v="04741-17"/>
    <x v="35"/>
    <x v="7"/>
    <x v="3"/>
    <s v="RAVENSWOOD"/>
    <x v="3"/>
    <s v="26164"/>
  </r>
  <r>
    <x v="72"/>
    <x v="72"/>
    <x v="79"/>
    <x v="38"/>
    <s v="05116-31"/>
    <x v="56"/>
    <x v="1"/>
    <x v="20"/>
    <s v="ASHTABULA"/>
    <x v="0"/>
    <s v="44004"/>
  </r>
  <r>
    <x v="73"/>
    <x v="73"/>
    <x v="80"/>
    <x v="51"/>
    <s v="04322-01"/>
    <x v="57"/>
    <x v="1"/>
    <x v="5"/>
    <s v="NAVARRE"/>
    <x v="0"/>
    <s v="44662"/>
  </r>
  <r>
    <x v="74"/>
    <x v="74"/>
    <x v="81"/>
    <x v="52"/>
    <s v="04307-01"/>
    <x v="58"/>
    <x v="1"/>
    <x v="5"/>
    <s v="CANTON"/>
    <x v="0"/>
    <s v="44705"/>
  </r>
  <r>
    <x v="74"/>
    <x v="74"/>
    <x v="82"/>
    <x v="52"/>
    <s v="4307A-01"/>
    <x v="58"/>
    <x v="1"/>
    <x v="5"/>
    <s v="CANTON"/>
    <x v="0"/>
    <s v="44705"/>
  </r>
  <r>
    <x v="75"/>
    <x v="75"/>
    <x v="83"/>
    <x v="53"/>
    <s v="04918-01"/>
    <x v="59"/>
    <x v="7"/>
    <x v="24"/>
    <s v="LEWISVILLE"/>
    <x v="0"/>
    <s v="43754"/>
  </r>
  <r>
    <x v="76"/>
    <x v="76"/>
    <x v="84"/>
    <x v="54"/>
    <s v="05153-01"/>
    <x v="60"/>
    <x v="1"/>
    <x v="3"/>
    <s v="HERMITAGE"/>
    <x v="1"/>
    <s v="16148"/>
  </r>
  <r>
    <x v="77"/>
    <x v="77"/>
    <x v="85"/>
    <x v="55"/>
    <s v="04328-01"/>
    <x v="61"/>
    <x v="1"/>
    <x v="17"/>
    <s v="MILTON TOWNSHIP"/>
    <x v="0"/>
    <s v="44512"/>
  </r>
  <r>
    <x v="78"/>
    <x v="78"/>
    <x v="86"/>
    <x v="56"/>
    <s v="04438-01"/>
    <x v="62"/>
    <x v="8"/>
    <x v="26"/>
    <s v="NEWCOMERSTOWN"/>
    <x v="0"/>
    <s v="43832"/>
  </r>
  <r>
    <x v="79"/>
    <x v="79"/>
    <x v="87"/>
    <x v="57"/>
    <s v="05147-03"/>
    <x v="63"/>
    <x v="1"/>
    <x v="17"/>
    <s v="NORTH JACKSON"/>
    <x v="0"/>
    <s v="44451"/>
  </r>
  <r>
    <x v="80"/>
    <x v="80"/>
    <x v="88"/>
    <x v="9"/>
    <s v="05147-04"/>
    <x v="64"/>
    <x v="0"/>
    <x v="0"/>
    <s v="CLEVELAND"/>
    <x v="0"/>
    <s v="44113"/>
  </r>
  <r>
    <x v="81"/>
    <x v="81"/>
    <x v="89"/>
    <x v="58"/>
    <s v="04312-01"/>
    <x v="65"/>
    <x v="1"/>
    <x v="9"/>
    <s v="KENT"/>
    <x v="0"/>
    <s v="44240"/>
  </r>
  <r>
    <x v="82"/>
    <x v="82"/>
    <x v="90"/>
    <x v="59"/>
    <s v="04418-01"/>
    <x v="66"/>
    <x v="8"/>
    <x v="27"/>
    <s v="CUMBERLAND"/>
    <x v="0"/>
    <s v="43732"/>
  </r>
  <r>
    <x v="83"/>
    <x v="83"/>
    <x v="91"/>
    <x v="60"/>
    <s v="04397-01"/>
    <x v="67"/>
    <x v="1"/>
    <x v="9"/>
    <s v="MOGADORE"/>
    <x v="0"/>
    <s v="44260"/>
  </r>
  <r>
    <x v="84"/>
    <x v="84"/>
    <x v="92"/>
    <x v="61"/>
    <s v="04396-01"/>
    <x v="68"/>
    <x v="1"/>
    <x v="3"/>
    <s v="MERCER"/>
    <x v="1"/>
    <s v="16137"/>
  </r>
  <r>
    <x v="85"/>
    <x v="85"/>
    <x v="93"/>
    <x v="50"/>
    <s v="05111-28"/>
    <x v="55"/>
    <x v="0"/>
    <x v="0"/>
    <s v="CLEVELAND"/>
    <x v="0"/>
    <s v="44115"/>
  </r>
  <r>
    <x v="86"/>
    <x v="86"/>
    <x v="94"/>
    <x v="42"/>
    <s v="05111-25"/>
    <x v="47"/>
    <x v="0"/>
    <x v="1"/>
    <s v="GRAND RIVER"/>
    <x v="0"/>
    <s v="44045"/>
  </r>
  <r>
    <x v="87"/>
    <x v="87"/>
    <x v="95"/>
    <x v="9"/>
    <s v="05111-24"/>
    <x v="10"/>
    <x v="0"/>
    <x v="0"/>
    <s v="CLEVELAND"/>
    <x v="0"/>
    <s v="44113"/>
  </r>
  <r>
    <x v="88"/>
    <x v="88"/>
    <x v="96"/>
    <x v="62"/>
    <s v="04638-01"/>
    <x v="69"/>
    <x v="6"/>
    <x v="28"/>
    <s v="HUNTSVILLE"/>
    <x v="0"/>
    <s v="43324"/>
  </r>
  <r>
    <x v="89"/>
    <x v="89"/>
    <x v="97"/>
    <x v="63"/>
    <s v="04730-01"/>
    <x v="70"/>
    <x v="4"/>
    <x v="11"/>
    <s v="GERMANTOWN"/>
    <x v="0"/>
    <s v="45327"/>
  </r>
  <r>
    <x v="90"/>
    <x v="90"/>
    <x v="98"/>
    <x v="64"/>
    <s v="04314-01"/>
    <x v="71"/>
    <x v="1"/>
    <x v="17"/>
    <s v="PETERSBURG"/>
    <x v="0"/>
    <s v="44454"/>
  </r>
  <r>
    <x v="91"/>
    <x v="91"/>
    <x v="99"/>
    <x v="57"/>
    <s v="04364-03"/>
    <x v="63"/>
    <x v="1"/>
    <x v="17"/>
    <s v="NORTH JACKSON"/>
    <x v="0"/>
    <s v="44451"/>
  </r>
  <r>
    <x v="92"/>
    <x v="92"/>
    <x v="100"/>
    <x v="65"/>
    <s v="04962-01"/>
    <x v="72"/>
    <x v="7"/>
    <x v="29"/>
    <s v="GUYSVILLE"/>
    <x v="0"/>
    <s v="45692"/>
  </r>
  <r>
    <x v="93"/>
    <x v="93"/>
    <x v="101"/>
    <x v="66"/>
    <s v="04847-01"/>
    <x v="73"/>
    <x v="3"/>
    <x v="30"/>
    <s v="WELLSTON"/>
    <x v="0"/>
    <s v="45692"/>
  </r>
  <r>
    <x v="94"/>
    <x v="94"/>
    <x v="102"/>
    <x v="67"/>
    <s v="04611-01"/>
    <x v="74"/>
    <x v="6"/>
    <x v="12"/>
    <s v="ENON"/>
    <x v="0"/>
    <s v="45502"/>
  </r>
  <r>
    <x v="95"/>
    <x v="95"/>
    <x v="103"/>
    <x v="68"/>
    <s v="04206-01"/>
    <x v="75"/>
    <x v="2"/>
    <x v="31"/>
    <s v="SANDUSKY"/>
    <x v="0"/>
    <s v="44870"/>
  </r>
  <r>
    <x v="96"/>
    <x v="96"/>
    <x v="104"/>
    <x v="11"/>
    <s v="04206-13"/>
    <x v="76"/>
    <x v="1"/>
    <x v="5"/>
    <s v="ALLIANCE"/>
    <x v="0"/>
    <s v="44601"/>
  </r>
  <r>
    <x v="97"/>
    <x v="97"/>
    <x v="105"/>
    <x v="69"/>
    <s v="04206-10"/>
    <x v="77"/>
    <x v="1"/>
    <x v="2"/>
    <s v="TWINSBURG"/>
    <x v="0"/>
    <s v="44087"/>
  </r>
  <r>
    <x v="98"/>
    <x v="98"/>
    <x v="106"/>
    <x v="70"/>
    <s v="04839-01"/>
    <x v="78"/>
    <x v="3"/>
    <x v="32"/>
    <s v="HILLSBORO"/>
    <x v="0"/>
    <s v="45133"/>
  </r>
  <r>
    <x v="99"/>
    <x v="99"/>
    <x v="107"/>
    <x v="71"/>
    <s v="04788-01"/>
    <x v="79"/>
    <x v="4"/>
    <x v="21"/>
    <s v="CINCINNATI"/>
    <x v="0"/>
    <s v="45244"/>
  </r>
  <r>
    <x v="100"/>
    <x v="100"/>
    <x v="108"/>
    <x v="72"/>
    <s v="05009-01"/>
    <x v="80"/>
    <x v="9"/>
    <x v="33"/>
    <s v="FREDERICKSBURG"/>
    <x v="0"/>
    <s v="44627"/>
  </r>
  <r>
    <x v="101"/>
    <x v="101"/>
    <x v="109"/>
    <x v="73"/>
    <s v="04630-01"/>
    <x v="81"/>
    <x v="6"/>
    <x v="34"/>
    <s v="GREENVILLE"/>
    <x v="0"/>
    <s v="45331"/>
  </r>
  <r>
    <x v="102"/>
    <x v="102"/>
    <x v="110"/>
    <x v="74"/>
    <s v="04147-01"/>
    <x v="82"/>
    <x v="5"/>
    <x v="35"/>
    <s v="DELTA"/>
    <x v="0"/>
    <s v="43515"/>
  </r>
  <r>
    <x v="102"/>
    <x v="102"/>
    <x v="111"/>
    <x v="74"/>
    <s v="4147A-01"/>
    <x v="82"/>
    <x v="5"/>
    <x v="35"/>
    <s v="DELTA"/>
    <x v="0"/>
    <s v="43515"/>
  </r>
  <r>
    <x v="103"/>
    <x v="103"/>
    <x v="112"/>
    <x v="75"/>
    <s v="04118-01"/>
    <x v="83"/>
    <x v="5"/>
    <x v="36"/>
    <s v="GENOA"/>
    <x v="0"/>
    <s v="43430"/>
  </r>
  <r>
    <x v="104"/>
    <x v="104"/>
    <x v="113"/>
    <x v="76"/>
    <s v="04156-91"/>
    <x v="84"/>
    <x v="5"/>
    <x v="19"/>
    <s v="SYLVANIA"/>
    <x v="0"/>
    <s v="43560"/>
  </r>
  <r>
    <x v="105"/>
    <x v="105"/>
    <x v="114"/>
    <x v="77"/>
    <s v="04001-01"/>
    <x v="85"/>
    <x v="10"/>
    <x v="37"/>
    <s v="BLUFFTON"/>
    <x v="0"/>
    <s v="45817"/>
  </r>
  <r>
    <x v="106"/>
    <x v="106"/>
    <x v="115"/>
    <x v="78"/>
    <s v="04128-01"/>
    <x v="86"/>
    <x v="5"/>
    <x v="3"/>
    <s v="CLINTON"/>
    <x v="5"/>
    <s v="49236"/>
  </r>
  <r>
    <x v="107"/>
    <x v="107"/>
    <x v="116"/>
    <x v="79"/>
    <s v="04113-01"/>
    <x v="87"/>
    <x v="5"/>
    <x v="38"/>
    <s v="CUSTAR"/>
    <x v="0"/>
    <s v="43511"/>
  </r>
  <r>
    <x v="107"/>
    <x v="107"/>
    <x v="117"/>
    <x v="79"/>
    <s v="4113A-01"/>
    <x v="87"/>
    <x v="5"/>
    <x v="38"/>
    <s v="CUSTAR"/>
    <x v="0"/>
    <s v="43511"/>
  </r>
  <r>
    <x v="108"/>
    <x v="108"/>
    <x v="118"/>
    <x v="80"/>
    <s v="4113A-86"/>
    <x v="88"/>
    <x v="5"/>
    <x v="39"/>
    <s v="PIONEER"/>
    <x v="0"/>
    <s v="43554"/>
  </r>
  <r>
    <x v="109"/>
    <x v="109"/>
    <x v="119"/>
    <x v="81"/>
    <s v="04156-01"/>
    <x v="89"/>
    <x v="5"/>
    <x v="40"/>
    <s v="JONESVILLE"/>
    <x v="5"/>
    <s v="49250"/>
  </r>
  <r>
    <x v="109"/>
    <x v="109"/>
    <x v="120"/>
    <x v="81"/>
    <s v="4156A-01"/>
    <x v="89"/>
    <x v="5"/>
    <x v="40"/>
    <s v="JONESVILLE"/>
    <x v="5"/>
    <s v="49250"/>
  </r>
  <r>
    <x v="110"/>
    <x v="110"/>
    <x v="121"/>
    <x v="80"/>
    <s v="04156-86"/>
    <x v="88"/>
    <x v="5"/>
    <x v="39"/>
    <s v="PIONEER"/>
    <x v="0"/>
    <s v="43554"/>
  </r>
  <r>
    <x v="110"/>
    <x v="110"/>
    <x v="122"/>
    <x v="80"/>
    <s v="4156A-86"/>
    <x v="88"/>
    <x v="5"/>
    <x v="39"/>
    <s v="PIONEER"/>
    <x v="0"/>
    <s v="43554"/>
  </r>
  <r>
    <x v="111"/>
    <x v="111"/>
    <x v="123"/>
    <x v="82"/>
    <s v="04120-01"/>
    <x v="90"/>
    <x v="5"/>
    <x v="35"/>
    <s v="WALDRON"/>
    <x v="5"/>
    <s v="49228"/>
  </r>
  <r>
    <x v="111"/>
    <x v="111"/>
    <x v="124"/>
    <x v="82"/>
    <s v="4120A-01"/>
    <x v="90"/>
    <x v="5"/>
    <x v="35"/>
    <s v="WALDRON"/>
    <x v="5"/>
    <s v="49228"/>
  </r>
  <r>
    <x v="112"/>
    <x v="112"/>
    <x v="125"/>
    <x v="83"/>
    <s v="04122-01"/>
    <x v="91"/>
    <x v="5"/>
    <x v="40"/>
    <s v="ADDISON"/>
    <x v="5"/>
    <s v="49220"/>
  </r>
  <r>
    <x v="112"/>
    <x v="112"/>
    <x v="126"/>
    <x v="83"/>
    <s v="4122A-01"/>
    <x v="91"/>
    <x v="5"/>
    <x v="3"/>
    <s v="ADDISON"/>
    <x v="5"/>
    <s v="49220"/>
  </r>
  <r>
    <x v="113"/>
    <x v="113"/>
    <x v="127"/>
    <x v="84"/>
    <s v="04159-01"/>
    <x v="92"/>
    <x v="5"/>
    <x v="3"/>
    <s v="TECUMSEH"/>
    <x v="5"/>
    <s v="49286"/>
  </r>
  <r>
    <x v="114"/>
    <x v="114"/>
    <x v="128"/>
    <x v="76"/>
    <s v="04159-91"/>
    <x v="84"/>
    <x v="5"/>
    <x v="35"/>
    <s v="SYLVANIA"/>
    <x v="0"/>
    <s v="43560"/>
  </r>
  <r>
    <x v="115"/>
    <x v="115"/>
    <x v="129"/>
    <x v="85"/>
    <s v="04108-01"/>
    <x v="93"/>
    <x v="5"/>
    <x v="38"/>
    <s v="WEST MILLGROVE"/>
    <x v="0"/>
    <s v="43467"/>
  </r>
  <r>
    <x v="115"/>
    <x v="115"/>
    <x v="130"/>
    <x v="85"/>
    <s v="4108A-01"/>
    <x v="94"/>
    <x v="5"/>
    <x v="38"/>
    <s v="WEST MILLGROVE"/>
    <x v="0"/>
    <s v="43467"/>
  </r>
  <r>
    <x v="116"/>
    <x v="116"/>
    <x v="131"/>
    <x v="86"/>
    <s v="04108-90"/>
    <x v="95"/>
    <x v="5"/>
    <x v="41"/>
    <s v="STONY RIDGE"/>
    <x v="0"/>
    <s v="43463"/>
  </r>
  <r>
    <x v="117"/>
    <x v="117"/>
    <x v="132"/>
    <x v="87"/>
    <s v="04949-56"/>
    <x v="96"/>
    <x v="9"/>
    <x v="25"/>
    <s v="BETHESDA"/>
    <x v="0"/>
    <s v="43719"/>
  </r>
  <r>
    <x v="118"/>
    <x v="118"/>
    <x v="133"/>
    <x v="88"/>
    <s v="04740-71"/>
    <x v="97"/>
    <x v="7"/>
    <x v="42"/>
    <s v="WILLIAMSTOWN"/>
    <x v="3"/>
    <s v="26187"/>
  </r>
  <r>
    <x v="119"/>
    <x v="119"/>
    <x v="134"/>
    <x v="46"/>
    <s v="04740-81"/>
    <x v="51"/>
    <x v="7"/>
    <x v="24"/>
    <s v="SARDIS"/>
    <x v="0"/>
    <s v="43946"/>
  </r>
  <r>
    <x v="120"/>
    <x v="120"/>
    <x v="135"/>
    <x v="49"/>
    <s v="04740-89"/>
    <x v="54"/>
    <x v="7"/>
    <x v="15"/>
    <s v="NEW MATAMORAS"/>
    <x v="0"/>
    <s v="45767"/>
  </r>
  <r>
    <x v="121"/>
    <x v="121"/>
    <x v="136"/>
    <x v="89"/>
    <s v="04771-07"/>
    <x v="98"/>
    <x v="4"/>
    <x v="21"/>
    <s v="CINCINNATI"/>
    <x v="0"/>
    <s v="45202"/>
  </r>
  <r>
    <x v="122"/>
    <x v="122"/>
    <x v="137"/>
    <x v="90"/>
    <s v="04771-06"/>
    <x v="99"/>
    <x v="4"/>
    <x v="21"/>
    <s v="CINCINNATI"/>
    <x v="0"/>
    <s v="46797"/>
  </r>
  <r>
    <x v="123"/>
    <x v="123"/>
    <x v="138"/>
    <x v="46"/>
    <s v="04771-81"/>
    <x v="51"/>
    <x v="7"/>
    <x v="24"/>
    <s v="SARDIS"/>
    <x v="0"/>
    <s v="43946"/>
  </r>
  <r>
    <x v="124"/>
    <x v="124"/>
    <x v="139"/>
    <x v="88"/>
    <s v="04771-71"/>
    <x v="97"/>
    <x v="7"/>
    <x v="23"/>
    <s v="WILLIAMSTOWN"/>
    <x v="3"/>
    <s v="26187"/>
  </r>
  <r>
    <x v="125"/>
    <x v="125"/>
    <x v="140"/>
    <x v="91"/>
    <s v="04771-50"/>
    <x v="100"/>
    <x v="9"/>
    <x v="3"/>
    <s v="MOUNDSVILLE"/>
    <x v="3"/>
    <s v="26041"/>
  </r>
  <r>
    <x v="126"/>
    <x v="126"/>
    <x v="141"/>
    <x v="92"/>
    <s v="04783-01"/>
    <x v="101"/>
    <x v="4"/>
    <x v="3"/>
    <s v="BUTLER"/>
    <x v="4"/>
    <s v="41006"/>
  </r>
  <r>
    <x v="126"/>
    <x v="126"/>
    <x v="142"/>
    <x v="92"/>
    <s v="4783A-01"/>
    <x v="101"/>
    <x v="4"/>
    <x v="3"/>
    <s v="BUTLER"/>
    <x v="4"/>
    <s v="41006"/>
  </r>
  <r>
    <x v="127"/>
    <x v="127"/>
    <x v="143"/>
    <x v="89"/>
    <s v="04783-07"/>
    <x v="102"/>
    <x v="4"/>
    <x v="21"/>
    <s v="CINCINNATI"/>
    <x v="0"/>
    <s v="45202"/>
  </r>
  <r>
    <x v="128"/>
    <x v="128"/>
    <x v="144"/>
    <x v="90"/>
    <s v="04783-06"/>
    <x v="99"/>
    <x v="4"/>
    <x v="7"/>
    <s v="CINCINNATI"/>
    <x v="0"/>
    <s v="46797"/>
  </r>
  <r>
    <x v="129"/>
    <x v="129"/>
    <x v="145"/>
    <x v="39"/>
    <s v="4783A-16"/>
    <x v="43"/>
    <x v="4"/>
    <x v="21"/>
    <s v="CINCINNATI"/>
    <x v="0"/>
    <s v="45226"/>
  </r>
  <r>
    <x v="130"/>
    <x v="130"/>
    <x v="146"/>
    <x v="32"/>
    <s v="04783-14"/>
    <x v="36"/>
    <x v="7"/>
    <x v="23"/>
    <s v="PARKERSBURG"/>
    <x v="3"/>
    <s v="26101"/>
  </r>
  <r>
    <x v="131"/>
    <x v="131"/>
    <x v="147"/>
    <x v="90"/>
    <s v="04719-06"/>
    <x v="99"/>
    <x v="4"/>
    <x v="21"/>
    <s v="CINCINNATI"/>
    <x v="0"/>
    <s v="46797"/>
  </r>
  <r>
    <x v="131"/>
    <x v="131"/>
    <x v="148"/>
    <x v="90"/>
    <s v="4719A-06"/>
    <x v="99"/>
    <x v="4"/>
    <x v="21"/>
    <s v="CINCINNATI"/>
    <x v="0"/>
    <s v="46797"/>
  </r>
  <r>
    <x v="132"/>
    <x v="132"/>
    <x v="149"/>
    <x v="89"/>
    <s v="04719-07"/>
    <x v="102"/>
    <x v="4"/>
    <x v="21"/>
    <s v="CINCINNATI"/>
    <x v="0"/>
    <s v="45202"/>
  </r>
  <r>
    <x v="133"/>
    <x v="133"/>
    <x v="150"/>
    <x v="89"/>
    <s v="4719A-07"/>
    <x v="102"/>
    <x v="4"/>
    <x v="21"/>
    <s v="CINCINNATI"/>
    <x v="0"/>
    <s v="45202"/>
  </r>
  <r>
    <x v="134"/>
    <x v="134"/>
    <x v="151"/>
    <x v="93"/>
    <s v="04927-01"/>
    <x v="103"/>
    <x v="7"/>
    <x v="43"/>
    <s v="LOGAN"/>
    <x v="0"/>
    <s v="43138"/>
  </r>
  <r>
    <x v="135"/>
    <x v="135"/>
    <x v="152"/>
    <x v="94"/>
    <s v="05017-01"/>
    <x v="104"/>
    <x v="9"/>
    <x v="33"/>
    <s v="MILLERSBURG"/>
    <x v="0"/>
    <s v="44654"/>
  </r>
  <r>
    <x v="136"/>
    <x v="136"/>
    <x v="153"/>
    <x v="94"/>
    <s v="5017C-01"/>
    <x v="104"/>
    <x v="9"/>
    <x v="33"/>
    <s v="MILLERSBURG"/>
    <x v="0"/>
    <s v="44654"/>
  </r>
  <r>
    <x v="137"/>
    <x v="137"/>
    <x v="154"/>
    <x v="95"/>
    <s v="05057-01"/>
    <x v="105"/>
    <x v="9"/>
    <x v="33"/>
    <s v="HOLMESVILLE"/>
    <x v="0"/>
    <s v="44633"/>
  </r>
  <r>
    <x v="137"/>
    <x v="137"/>
    <x v="155"/>
    <x v="95"/>
    <s v="5057C-01"/>
    <x v="105"/>
    <x v="9"/>
    <x v="22"/>
    <s v="HOLMESVILLE"/>
    <x v="0"/>
    <s v="44633"/>
  </r>
  <r>
    <x v="138"/>
    <x v="138"/>
    <x v="156"/>
    <x v="58"/>
    <s v="04315-01"/>
    <x v="106"/>
    <x v="1"/>
    <x v="9"/>
    <s v="KENT"/>
    <x v="0"/>
    <s v="44240"/>
  </r>
  <r>
    <x v="139"/>
    <x v="139"/>
    <x v="157"/>
    <x v="96"/>
    <s v="05156-01"/>
    <x v="107"/>
    <x v="0"/>
    <x v="0"/>
    <s v="CLEVELAND"/>
    <x v="0"/>
    <s v="44127"/>
  </r>
  <r>
    <x v="140"/>
    <x v="140"/>
    <x v="158"/>
    <x v="97"/>
    <s v="04792-01"/>
    <x v="108"/>
    <x v="4"/>
    <x v="44"/>
    <s v="CAMBRIDGE CITY"/>
    <x v="2"/>
    <s v="47327"/>
  </r>
  <r>
    <x v="141"/>
    <x v="141"/>
    <x v="159"/>
    <x v="98"/>
    <s v="04750-01"/>
    <x v="109"/>
    <x v="4"/>
    <x v="44"/>
    <s v="CONNERSVILLE"/>
    <x v="2"/>
    <s v="47331"/>
  </r>
  <r>
    <x v="142"/>
    <x v="142"/>
    <x v="160"/>
    <x v="99"/>
    <s v="04161-01"/>
    <x v="110"/>
    <x v="5"/>
    <x v="3"/>
    <s v="ANGOLA"/>
    <x v="2"/>
    <s v="46703"/>
  </r>
  <r>
    <x v="143"/>
    <x v="143"/>
    <x v="161"/>
    <x v="100"/>
    <s v="04162-01"/>
    <x v="111"/>
    <x v="5"/>
    <x v="3"/>
    <s v="WOLCOTTVILLE"/>
    <x v="2"/>
    <s v="46795"/>
  </r>
  <r>
    <x v="144"/>
    <x v="144"/>
    <x v="162"/>
    <x v="12"/>
    <s v="04316-69"/>
    <x v="13"/>
    <x v="0"/>
    <x v="0"/>
    <s v="CLEVELAND"/>
    <x v="0"/>
    <s v="44135"/>
  </r>
  <r>
    <x v="145"/>
    <x v="145"/>
    <x v="163"/>
    <x v="93"/>
    <s v="04953-01"/>
    <x v="112"/>
    <x v="7"/>
    <x v="43"/>
    <s v="LOGAN"/>
    <x v="0"/>
    <s v="43138"/>
  </r>
  <r>
    <x v="146"/>
    <x v="146"/>
    <x v="164"/>
    <x v="101"/>
    <s v="05078-01"/>
    <x v="113"/>
    <x v="9"/>
    <x v="45"/>
    <s v="BOLIVER"/>
    <x v="0"/>
    <s v="44612"/>
  </r>
  <r>
    <x v="147"/>
    <x v="147"/>
    <x v="165"/>
    <x v="102"/>
    <s v="05016-01"/>
    <x v="114"/>
    <x v="9"/>
    <x v="45"/>
    <s v="DOVER"/>
    <x v="0"/>
    <s v="44622"/>
  </r>
  <r>
    <x v="148"/>
    <x v="148"/>
    <x v="166"/>
    <x v="103"/>
    <s v="04947-01"/>
    <x v="115"/>
    <x v="7"/>
    <x v="14"/>
    <s v="CALDWELL"/>
    <x v="0"/>
    <s v="43724"/>
  </r>
  <r>
    <x v="149"/>
    <x v="149"/>
    <x v="167"/>
    <x v="104"/>
    <s v="04023-01"/>
    <x v="116"/>
    <x v="10"/>
    <x v="46"/>
    <s v="UPPER SANDUSKY"/>
    <x v="0"/>
    <s v="43351"/>
  </r>
  <r>
    <x v="149"/>
    <x v="149"/>
    <x v="168"/>
    <x v="104"/>
    <s v="4023B-01"/>
    <x v="117"/>
    <x v="10"/>
    <x v="46"/>
    <s v="UPPER SANDUSKY"/>
    <x v="0"/>
    <s v="43351"/>
  </r>
  <r>
    <x v="150"/>
    <x v="150"/>
    <x v="169"/>
    <x v="105"/>
    <s v="04960-01"/>
    <x v="118"/>
    <x v="7"/>
    <x v="15"/>
    <s v="BELPRE"/>
    <x v="0"/>
    <s v="45714"/>
  </r>
  <r>
    <x v="151"/>
    <x v="151"/>
    <x v="170"/>
    <x v="106"/>
    <s v="04363-01"/>
    <x v="119"/>
    <x v="1"/>
    <x v="3"/>
    <s v="WEST MIFFLIN"/>
    <x v="1"/>
    <s v="15122"/>
  </r>
  <r>
    <x v="152"/>
    <x v="152"/>
    <x v="171"/>
    <x v="9"/>
    <s v="05114-24"/>
    <x v="120"/>
    <x v="0"/>
    <x v="0"/>
    <s v="CLEVELAND"/>
    <x v="0"/>
    <s v="44113"/>
  </r>
  <r>
    <x v="153"/>
    <x v="153"/>
    <x v="172"/>
    <x v="9"/>
    <s v="05114-43"/>
    <x v="121"/>
    <x v="0"/>
    <x v="0"/>
    <s v="CLEVELAND"/>
    <x v="0"/>
    <s v="44113"/>
  </r>
  <r>
    <x v="154"/>
    <x v="154"/>
    <x v="173"/>
    <x v="107"/>
    <s v="05114-29"/>
    <x v="122"/>
    <x v="2"/>
    <x v="47"/>
    <s v="LORAIN"/>
    <x v="0"/>
    <s v="44052"/>
  </r>
  <r>
    <x v="155"/>
    <x v="155"/>
    <x v="174"/>
    <x v="50"/>
    <s v="05114-28"/>
    <x v="55"/>
    <x v="0"/>
    <x v="0"/>
    <s v="CLEVELAND"/>
    <x v="0"/>
    <s v="44115"/>
  </r>
  <r>
    <x v="156"/>
    <x v="156"/>
    <x v="175"/>
    <x v="38"/>
    <s v="05114-62"/>
    <x v="123"/>
    <x v="0"/>
    <x v="20"/>
    <s v="ASHTABULA"/>
    <x v="0"/>
    <s v="44004"/>
  </r>
  <r>
    <x v="157"/>
    <x v="157"/>
    <x v="176"/>
    <x v="42"/>
    <s v="05114-37"/>
    <x v="124"/>
    <x v="0"/>
    <x v="1"/>
    <s v="GRAND RIVER"/>
    <x v="0"/>
    <s v="44045"/>
  </r>
  <r>
    <x v="158"/>
    <x v="158"/>
    <x v="177"/>
    <x v="9"/>
    <s v="05114-04"/>
    <x v="120"/>
    <x v="0"/>
    <x v="0"/>
    <s v="CLEVELAND"/>
    <x v="0"/>
    <s v="44113"/>
  </r>
  <r>
    <x v="159"/>
    <x v="159"/>
    <x v="178"/>
    <x v="108"/>
    <s v="04105-01"/>
    <x v="125"/>
    <x v="5"/>
    <x v="36"/>
    <s v="MARBLEHEAD"/>
    <x v="0"/>
    <s v="43440"/>
  </r>
  <r>
    <x v="160"/>
    <x v="160"/>
    <x v="179"/>
    <x v="9"/>
    <s v="04105-24"/>
    <x v="120"/>
    <x v="0"/>
    <x v="0"/>
    <s v="CLEVELAND"/>
    <x v="0"/>
    <s v="44113"/>
  </r>
  <r>
    <x v="161"/>
    <x v="161"/>
    <x v="180"/>
    <x v="9"/>
    <s v="04105-23"/>
    <x v="44"/>
    <x v="0"/>
    <x v="0"/>
    <s v="CLEVELAND"/>
    <x v="0"/>
    <s v="44113"/>
  </r>
  <r>
    <x v="162"/>
    <x v="162"/>
    <x v="181"/>
    <x v="50"/>
    <s v="04105-28"/>
    <x v="55"/>
    <x v="0"/>
    <x v="0"/>
    <s v="CLEVELAND"/>
    <x v="0"/>
    <s v="44115"/>
  </r>
  <r>
    <x v="163"/>
    <x v="163"/>
    <x v="182"/>
    <x v="42"/>
    <s v="04105-25"/>
    <x v="47"/>
    <x v="0"/>
    <x v="1"/>
    <s v="GRAND RIVER"/>
    <x v="0"/>
    <s v="44045"/>
  </r>
  <r>
    <x v="164"/>
    <x v="164"/>
    <x v="183"/>
    <x v="9"/>
    <s v="04105-43"/>
    <x v="121"/>
    <x v="0"/>
    <x v="0"/>
    <s v="CLEVELAND"/>
    <x v="0"/>
    <s v="44113"/>
  </r>
  <r>
    <x v="165"/>
    <x v="165"/>
    <x v="184"/>
    <x v="107"/>
    <s v="04105-29"/>
    <x v="122"/>
    <x v="2"/>
    <x v="47"/>
    <s v="LORAIN"/>
    <x v="0"/>
    <s v="44052"/>
  </r>
  <r>
    <x v="166"/>
    <x v="166"/>
    <x v="185"/>
    <x v="38"/>
    <s v="04105-62"/>
    <x v="123"/>
    <x v="0"/>
    <x v="20"/>
    <s v="ASHTABULA"/>
    <x v="0"/>
    <s v="44004"/>
  </r>
  <r>
    <x v="167"/>
    <x v="167"/>
    <x v="186"/>
    <x v="42"/>
    <s v="04105-37"/>
    <x v="124"/>
    <x v="0"/>
    <x v="1"/>
    <s v="GRAND RIVER"/>
    <x v="0"/>
    <s v="44045"/>
  </r>
  <r>
    <x v="168"/>
    <x v="168"/>
    <x v="187"/>
    <x v="9"/>
    <s v="04105-04"/>
    <x v="10"/>
    <x v="0"/>
    <x v="0"/>
    <s v="CLEVELAND"/>
    <x v="0"/>
    <s v="44113"/>
  </r>
  <r>
    <x v="169"/>
    <x v="169"/>
    <x v="188"/>
    <x v="109"/>
    <s v="04002-01"/>
    <x v="126"/>
    <x v="10"/>
    <x v="48"/>
    <s v="PAULDING"/>
    <x v="0"/>
    <s v="45879"/>
  </r>
  <r>
    <x v="170"/>
    <x v="170"/>
    <x v="189"/>
    <x v="9"/>
    <s v="05109-24"/>
    <x v="10"/>
    <x v="0"/>
    <x v="0"/>
    <s v="CLEVELAND"/>
    <x v="0"/>
    <s v="44113"/>
  </r>
  <r>
    <x v="171"/>
    <x v="171"/>
    <x v="190"/>
    <x v="9"/>
    <s v="05109-43"/>
    <x v="121"/>
    <x v="0"/>
    <x v="0"/>
    <s v="CLEVELAND"/>
    <x v="0"/>
    <s v="44113"/>
  </r>
  <r>
    <x v="172"/>
    <x v="172"/>
    <x v="191"/>
    <x v="107"/>
    <s v="05109-29"/>
    <x v="122"/>
    <x v="2"/>
    <x v="47"/>
    <s v="LORAIN"/>
    <x v="0"/>
    <s v="44052"/>
  </r>
  <r>
    <x v="173"/>
    <x v="173"/>
    <x v="192"/>
    <x v="50"/>
    <s v="05109-28"/>
    <x v="55"/>
    <x v="0"/>
    <x v="0"/>
    <s v="CLEVELAND"/>
    <x v="0"/>
    <s v="44115"/>
  </r>
  <r>
    <x v="174"/>
    <x v="174"/>
    <x v="193"/>
    <x v="42"/>
    <s v="05109-25"/>
    <x v="47"/>
    <x v="0"/>
    <x v="1"/>
    <s v="GRAND RIVER"/>
    <x v="0"/>
    <s v="44045"/>
  </r>
  <r>
    <x v="175"/>
    <x v="175"/>
    <x v="194"/>
    <x v="21"/>
    <s v="04320-01"/>
    <x v="127"/>
    <x v="1"/>
    <x v="9"/>
    <s v="MANTUA"/>
    <x v="0"/>
    <s v="44255"/>
  </r>
  <r>
    <x v="176"/>
    <x v="176"/>
    <x v="195"/>
    <x v="57"/>
    <s v="04320-03"/>
    <x v="128"/>
    <x v="1"/>
    <x v="17"/>
    <s v="NORTH JACKSON"/>
    <x v="0"/>
    <s v="44451"/>
  </r>
  <r>
    <x v="177"/>
    <x v="177"/>
    <x v="196"/>
    <x v="9"/>
    <s v="04320-24"/>
    <x v="10"/>
    <x v="0"/>
    <x v="0"/>
    <s v="CLEVELAND"/>
    <x v="0"/>
    <s v="44113"/>
  </r>
  <r>
    <x v="178"/>
    <x v="178"/>
    <x v="197"/>
    <x v="110"/>
    <s v="04818-01"/>
    <x v="129"/>
    <x v="3"/>
    <x v="49"/>
    <s v="LATHAM"/>
    <x v="0"/>
    <s v="45646"/>
  </r>
  <r>
    <x v="179"/>
    <x v="179"/>
    <x v="198"/>
    <x v="111"/>
    <s v="04818-48"/>
    <x v="130"/>
    <x v="7"/>
    <x v="29"/>
    <s v="ALBANY"/>
    <x v="0"/>
    <s v="45710"/>
  </r>
  <r>
    <x v="180"/>
    <x v="180"/>
    <x v="199"/>
    <x v="112"/>
    <s v="04818-78"/>
    <x v="131"/>
    <x v="3"/>
    <x v="30"/>
    <s v="OAK HILL"/>
    <x v="0"/>
    <s v="45656"/>
  </r>
  <r>
    <x v="181"/>
    <x v="181"/>
    <x v="200"/>
    <x v="113"/>
    <s v="05076-01"/>
    <x v="132"/>
    <x v="9"/>
    <x v="4"/>
    <s v="CONNELSVILLE"/>
    <x v="1"/>
    <s v="15468"/>
  </r>
  <r>
    <x v="182"/>
    <x v="182"/>
    <x v="201"/>
    <x v="114"/>
    <s v="4204A-96"/>
    <x v="133"/>
    <x v="0"/>
    <x v="1"/>
    <s v="WICKLIFFE"/>
    <x v="0"/>
    <s v="44092"/>
  </r>
  <r>
    <x v="183"/>
    <x v="183"/>
    <x v="202"/>
    <x v="99"/>
    <s v="04139-01"/>
    <x v="134"/>
    <x v="5"/>
    <x v="3"/>
    <s v="ANGOLA"/>
    <x v="2"/>
    <s v="46703"/>
  </r>
  <r>
    <x v="184"/>
    <x v="184"/>
    <x v="203"/>
    <x v="115"/>
    <s v="04311-01"/>
    <x v="135"/>
    <x v="1"/>
    <x v="3"/>
    <s v="BESSEMER"/>
    <x v="1"/>
    <s v="16112"/>
  </r>
  <r>
    <x v="185"/>
    <x v="185"/>
    <x v="204"/>
    <x v="116"/>
    <s v="04114-01"/>
    <x v="136"/>
    <x v="5"/>
    <x v="50"/>
    <s v="BLOOMVILLE"/>
    <x v="0"/>
    <s v="44818"/>
  </r>
  <r>
    <x v="186"/>
    <x v="186"/>
    <x v="205"/>
    <x v="117"/>
    <s v="04772-01"/>
    <x v="137"/>
    <x v="4"/>
    <x v="21"/>
    <s v="CLEVES"/>
    <x v="0"/>
    <s v="45002"/>
  </r>
  <r>
    <x v="187"/>
    <x v="187"/>
    <x v="206"/>
    <x v="18"/>
    <s v="04772-05"/>
    <x v="138"/>
    <x v="4"/>
    <x v="7"/>
    <s v="BATAVIA"/>
    <x v="0"/>
    <s v="45103"/>
  </r>
  <r>
    <x v="188"/>
    <x v="188"/>
    <x v="207"/>
    <x v="118"/>
    <s v="04837-01"/>
    <x v="139"/>
    <x v="3"/>
    <x v="42"/>
    <s v="GRAYSON"/>
    <x v="4"/>
    <s v="41143"/>
  </r>
  <r>
    <x v="188"/>
    <x v="188"/>
    <x v="208"/>
    <x v="118"/>
    <s v="4837A-01"/>
    <x v="139"/>
    <x v="3"/>
    <x v="42"/>
    <s v="GRAYSON"/>
    <x v="4"/>
    <s v="41143"/>
  </r>
  <r>
    <x v="189"/>
    <x v="189"/>
    <x v="209"/>
    <x v="119"/>
    <s v="04820-01"/>
    <x v="140"/>
    <x v="3"/>
    <x v="51"/>
    <s v="PEEBLES"/>
    <x v="0"/>
    <s v="45660"/>
  </r>
  <r>
    <x v="190"/>
    <x v="190"/>
    <x v="210"/>
    <x v="18"/>
    <s v="04820-05"/>
    <x v="138"/>
    <x v="4"/>
    <x v="7"/>
    <s v="BATAVIA"/>
    <x v="0"/>
    <s v="45103"/>
  </r>
  <r>
    <x v="191"/>
    <x v="191"/>
    <x v="211"/>
    <x v="120"/>
    <s v="4205A-01"/>
    <x v="141"/>
    <x v="2"/>
    <x v="31"/>
    <s v="CASTALIA"/>
    <x v="0"/>
    <s v="44824"/>
  </r>
  <r>
    <x v="191"/>
    <x v="191"/>
    <x v="212"/>
    <x v="120"/>
    <s v="4205B-01"/>
    <x v="141"/>
    <x v="2"/>
    <x v="31"/>
    <s v="CASTALIA"/>
    <x v="0"/>
    <s v="44824"/>
  </r>
  <r>
    <x v="191"/>
    <x v="191"/>
    <x v="213"/>
    <x v="120"/>
    <s v="4205C-01"/>
    <x v="141"/>
    <x v="2"/>
    <x v="31"/>
    <s v="CASTALIA"/>
    <x v="0"/>
    <s v="44824"/>
  </r>
  <r>
    <x v="191"/>
    <x v="191"/>
    <x v="214"/>
    <x v="120"/>
    <s v="4205D-01"/>
    <x v="141"/>
    <x v="2"/>
    <x v="31"/>
    <s v="CASTALIA"/>
    <x v="0"/>
    <s v="44824"/>
  </r>
  <r>
    <x v="192"/>
    <x v="192"/>
    <x v="215"/>
    <x v="114"/>
    <s v="4205A-96"/>
    <x v="142"/>
    <x v="0"/>
    <x v="1"/>
    <s v="WICKLIFFE"/>
    <x v="0"/>
    <s v="44092"/>
  </r>
  <r>
    <x v="192"/>
    <x v="192"/>
    <x v="216"/>
    <x v="114"/>
    <s v="4205B-96"/>
    <x v="133"/>
    <x v="0"/>
    <x v="1"/>
    <s v="WICKLIFFE"/>
    <x v="0"/>
    <s v="44092"/>
  </r>
  <r>
    <x v="193"/>
    <x v="193"/>
    <x v="217"/>
    <x v="114"/>
    <s v="4205C-96"/>
    <x v="133"/>
    <x v="0"/>
    <x v="1"/>
    <s v="WICKLIFFE"/>
    <x v="0"/>
    <s v="44092"/>
  </r>
  <r>
    <x v="194"/>
    <x v="194"/>
    <x v="218"/>
    <x v="121"/>
    <s v="4205B-22"/>
    <x v="143"/>
    <x v="1"/>
    <x v="2"/>
    <s v="CANTON"/>
    <x v="0"/>
    <s v="44707"/>
  </r>
  <r>
    <x v="194"/>
    <x v="194"/>
    <x v="219"/>
    <x v="121"/>
    <s v="4205C-22"/>
    <x v="143"/>
    <x v="1"/>
    <x v="5"/>
    <s v="CANTON"/>
    <x v="0"/>
    <s v="44707"/>
  </r>
  <r>
    <x v="195"/>
    <x v="195"/>
    <x v="220"/>
    <x v="122"/>
    <s v="4205C-67"/>
    <x v="144"/>
    <x v="9"/>
    <x v="25"/>
    <s v="MARTINS FERRY"/>
    <x v="0"/>
    <s v="43935"/>
  </r>
  <r>
    <x v="196"/>
    <x v="196"/>
    <x v="221"/>
    <x v="13"/>
    <s v="4205A-40"/>
    <x v="145"/>
    <x v="1"/>
    <x v="5"/>
    <s v="MASSILLON"/>
    <x v="0"/>
    <s v="44646"/>
  </r>
  <r>
    <x v="196"/>
    <x v="196"/>
    <x v="222"/>
    <x v="13"/>
    <s v="4205B-40"/>
    <x v="145"/>
    <x v="1"/>
    <x v="5"/>
    <s v="MASSILLON"/>
    <x v="0"/>
    <s v="44646"/>
  </r>
  <r>
    <x v="196"/>
    <x v="196"/>
    <x v="223"/>
    <x v="13"/>
    <s v="4205C-40"/>
    <x v="145"/>
    <x v="1"/>
    <x v="5"/>
    <s v="MASSILLON"/>
    <x v="0"/>
    <s v="44646"/>
  </r>
  <r>
    <x v="196"/>
    <x v="196"/>
    <x v="224"/>
    <x v="13"/>
    <s v="4205D-40"/>
    <x v="145"/>
    <x v="1"/>
    <x v="5"/>
    <s v="MASSILLON"/>
    <x v="0"/>
    <s v="44646"/>
  </r>
  <r>
    <x v="197"/>
    <x v="197"/>
    <x v="225"/>
    <x v="123"/>
    <s v="4205A-09"/>
    <x v="146"/>
    <x v="2"/>
    <x v="6"/>
    <s v="LODI"/>
    <x v="0"/>
    <s v="44254"/>
  </r>
  <r>
    <x v="197"/>
    <x v="197"/>
    <x v="226"/>
    <x v="123"/>
    <s v="4205B-09"/>
    <x v="146"/>
    <x v="2"/>
    <x v="6"/>
    <s v="LODI"/>
    <x v="0"/>
    <s v="44254"/>
  </r>
  <r>
    <x v="197"/>
    <x v="197"/>
    <x v="227"/>
    <x v="123"/>
    <s v="4205D-09"/>
    <x v="146"/>
    <x v="2"/>
    <x v="6"/>
    <s v="LODI"/>
    <x v="0"/>
    <s v="44254"/>
  </r>
  <r>
    <x v="198"/>
    <x v="198"/>
    <x v="228"/>
    <x v="10"/>
    <s v="4205A-53"/>
    <x v="147"/>
    <x v="2"/>
    <x v="6"/>
    <s v="MEDINA"/>
    <x v="0"/>
    <s v="44256"/>
  </r>
  <r>
    <x v="198"/>
    <x v="198"/>
    <x v="229"/>
    <x v="10"/>
    <s v="4205B-53"/>
    <x v="148"/>
    <x v="2"/>
    <x v="6"/>
    <s v="MEDINA"/>
    <x v="0"/>
    <s v="44256"/>
  </r>
  <r>
    <x v="198"/>
    <x v="198"/>
    <x v="230"/>
    <x v="10"/>
    <s v="4205D-53"/>
    <x v="147"/>
    <x v="2"/>
    <x v="6"/>
    <s v="MEDINA"/>
    <x v="0"/>
    <s v="44256"/>
  </r>
  <r>
    <x v="199"/>
    <x v="199"/>
    <x v="231"/>
    <x v="50"/>
    <s v="4205A-28"/>
    <x v="55"/>
    <x v="0"/>
    <x v="0"/>
    <s v="CLEVELAND"/>
    <x v="0"/>
    <s v="44115"/>
  </r>
  <r>
    <x v="200"/>
    <x v="200"/>
    <x v="232"/>
    <x v="124"/>
    <s v="4205A-27"/>
    <x v="149"/>
    <x v="1"/>
    <x v="2"/>
    <s v="AKRON"/>
    <x v="0"/>
    <s v="44305"/>
  </r>
  <r>
    <x v="200"/>
    <x v="200"/>
    <x v="233"/>
    <x v="124"/>
    <s v="4205B-27"/>
    <x v="149"/>
    <x v="1"/>
    <x v="2"/>
    <s v="AKRON"/>
    <x v="0"/>
    <s v="44305"/>
  </r>
  <r>
    <x v="200"/>
    <x v="200"/>
    <x v="234"/>
    <x v="124"/>
    <s v="4205C-27"/>
    <x v="149"/>
    <x v="1"/>
    <x v="2"/>
    <s v="AKRON"/>
    <x v="0"/>
    <s v="44305"/>
  </r>
  <r>
    <x v="200"/>
    <x v="200"/>
    <x v="235"/>
    <x v="124"/>
    <s v="4205D-27"/>
    <x v="149"/>
    <x v="1"/>
    <x v="2"/>
    <s v="AKRON"/>
    <x v="0"/>
    <s v="44305"/>
  </r>
  <r>
    <x v="201"/>
    <x v="201"/>
    <x v="236"/>
    <x v="8"/>
    <s v="4205B-42"/>
    <x v="9"/>
    <x v="1"/>
    <x v="2"/>
    <s v="COPLEY"/>
    <x v="0"/>
    <s v="44321"/>
  </r>
  <r>
    <x v="202"/>
    <x v="202"/>
    <x v="237"/>
    <x v="58"/>
    <s v="4205B-32"/>
    <x v="150"/>
    <x v="2"/>
    <x v="31"/>
    <s v="KENT"/>
    <x v="0"/>
    <s v="44240"/>
  </r>
  <r>
    <x v="203"/>
    <x v="203"/>
    <x v="238"/>
    <x v="12"/>
    <s v="4205B-69"/>
    <x v="13"/>
    <x v="0"/>
    <x v="0"/>
    <s v="CLEVELAND"/>
    <x v="0"/>
    <s v="44135"/>
  </r>
  <r>
    <x v="204"/>
    <x v="204"/>
    <x v="239"/>
    <x v="125"/>
    <s v="04811-01"/>
    <x v="151"/>
    <x v="3"/>
    <x v="49"/>
    <s v="PIKETON"/>
    <x v="0"/>
    <s v="45661"/>
  </r>
  <r>
    <x v="205"/>
    <x v="205"/>
    <x v="240"/>
    <x v="126"/>
    <s v="05076-93"/>
    <x v="152"/>
    <x v="9"/>
    <x v="4"/>
    <s v="TRIDELPHIA"/>
    <x v="3"/>
    <s v="26059"/>
  </r>
  <r>
    <x v="206"/>
    <x v="206"/>
    <x v="241"/>
    <x v="76"/>
    <s v="04111-01"/>
    <x v="153"/>
    <x v="5"/>
    <x v="19"/>
    <s v="SYLVANIA"/>
    <x v="0"/>
    <s v="43560"/>
  </r>
  <r>
    <x v="207"/>
    <x v="207"/>
    <x v="242"/>
    <x v="127"/>
    <s v="04776-01"/>
    <x v="154"/>
    <x v="4"/>
    <x v="44"/>
    <s v="VERSAILLES"/>
    <x v="2"/>
    <s v="47042"/>
  </r>
  <r>
    <x v="208"/>
    <x v="208"/>
    <x v="243"/>
    <x v="68"/>
    <s v="4204A-01"/>
    <x v="155"/>
    <x v="2"/>
    <x v="31"/>
    <s v="SANDUSKY"/>
    <x v="0"/>
    <s v="44870"/>
  </r>
  <r>
    <x v="208"/>
    <x v="208"/>
    <x v="244"/>
    <x v="68"/>
    <s v="4204B-01"/>
    <x v="155"/>
    <x v="2"/>
    <x v="31"/>
    <s v="SANDUSKY"/>
    <x v="0"/>
    <s v="44870"/>
  </r>
  <r>
    <x v="209"/>
    <x v="209"/>
    <x v="245"/>
    <x v="69"/>
    <s v="4204A-10"/>
    <x v="77"/>
    <x v="1"/>
    <x v="2"/>
    <s v="Twinsburg"/>
    <x v="0"/>
    <s v="44087"/>
  </r>
  <r>
    <x v="210"/>
    <x v="210"/>
    <x v="246"/>
    <x v="10"/>
    <s v="4204A-53"/>
    <x v="148"/>
    <x v="2"/>
    <x v="6"/>
    <s v="MEDINA"/>
    <x v="0"/>
    <s v="44256"/>
  </r>
  <r>
    <x v="211"/>
    <x v="211"/>
    <x v="247"/>
    <x v="124"/>
    <s v="4204A-27"/>
    <x v="149"/>
    <x v="1"/>
    <x v="2"/>
    <s v="AKRON"/>
    <x v="0"/>
    <s v="44305"/>
  </r>
  <r>
    <x v="212"/>
    <x v="212"/>
    <x v="248"/>
    <x v="11"/>
    <s v="4204A-13"/>
    <x v="76"/>
    <x v="1"/>
    <x v="5"/>
    <s v="ALLIANCE"/>
    <x v="0"/>
    <s v="44601"/>
  </r>
  <r>
    <x v="213"/>
    <x v="213"/>
    <x v="249"/>
    <x v="8"/>
    <s v="4204A-42"/>
    <x v="9"/>
    <x v="1"/>
    <x v="2"/>
    <s v="COPLEY"/>
    <x v="0"/>
    <s v="44321"/>
  </r>
  <r>
    <x v="214"/>
    <x v="214"/>
    <x v="250"/>
    <x v="128"/>
    <s v="04110-01"/>
    <x v="156"/>
    <x v="5"/>
    <x v="19"/>
    <s v="WATERVILLE"/>
    <x v="0"/>
    <s v="43566"/>
  </r>
  <r>
    <x v="214"/>
    <x v="214"/>
    <x v="251"/>
    <x v="128"/>
    <s v="4110B-01"/>
    <x v="156"/>
    <x v="5"/>
    <x v="19"/>
    <s v="WATERVILLE"/>
    <x v="0"/>
    <s v="43566"/>
  </r>
  <r>
    <x v="215"/>
    <x v="215"/>
    <x v="252"/>
    <x v="129"/>
    <s v="04833-01"/>
    <x v="157"/>
    <x v="3"/>
    <x v="52"/>
    <s v="WINCHESTER"/>
    <x v="0"/>
    <s v="45697"/>
  </r>
  <r>
    <x v="216"/>
    <x v="216"/>
    <x v="253"/>
    <x v="18"/>
    <s v="04833-05"/>
    <x v="138"/>
    <x v="4"/>
    <x v="7"/>
    <s v="BATAVIA"/>
    <x v="0"/>
    <s v="45103"/>
  </r>
  <r>
    <x v="217"/>
    <x v="217"/>
    <x v="254"/>
    <x v="130"/>
    <s v="04025-01"/>
    <x v="158"/>
    <x v="10"/>
    <x v="3"/>
    <s v="WOODBURN"/>
    <x v="2"/>
    <s v="46797"/>
  </r>
  <r>
    <x v="218"/>
    <x v="218"/>
    <x v="255"/>
    <x v="131"/>
    <s v="04912-01"/>
    <x v="159"/>
    <x v="7"/>
    <x v="3"/>
    <s v="GALLIPOLIS FERRY"/>
    <x v="3"/>
    <s v="25515"/>
  </r>
  <r>
    <x v="219"/>
    <x v="219"/>
    <x v="256"/>
    <x v="132"/>
    <s v="04749-01"/>
    <x v="160"/>
    <x v="4"/>
    <x v="53"/>
    <s v="NORTH BEND"/>
    <x v="0"/>
    <s v="45052"/>
  </r>
  <r>
    <x v="220"/>
    <x v="220"/>
    <x v="257"/>
    <x v="133"/>
    <s v="04915-01"/>
    <x v="161"/>
    <x v="7"/>
    <x v="54"/>
    <s v="RACINE"/>
    <x v="0"/>
    <s v="45771"/>
  </r>
  <r>
    <x v="221"/>
    <x v="221"/>
    <x v="258"/>
    <x v="30"/>
    <s v="04915-39"/>
    <x v="34"/>
    <x v="7"/>
    <x v="3"/>
    <s v="NEW MARTINSVILLE"/>
    <x v="3"/>
    <s v="26155"/>
  </r>
  <r>
    <x v="222"/>
    <x v="222"/>
    <x v="259"/>
    <x v="32"/>
    <s v="04915-14"/>
    <x v="36"/>
    <x v="7"/>
    <x v="3"/>
    <s v="PARKERSBURG"/>
    <x v="3"/>
    <s v="26101"/>
  </r>
  <r>
    <x v="223"/>
    <x v="223"/>
    <x v="260"/>
    <x v="31"/>
    <s v="04915-17"/>
    <x v="35"/>
    <x v="7"/>
    <x v="3"/>
    <s v="RAVENSWOOD"/>
    <x v="3"/>
    <s v="26164"/>
  </r>
  <r>
    <x v="224"/>
    <x v="224"/>
    <x v="261"/>
    <x v="30"/>
    <s v="04954-39"/>
    <x v="34"/>
    <x v="7"/>
    <x v="3"/>
    <s v="NEW MARTINSVILLE"/>
    <x v="3"/>
    <s v="26155"/>
  </r>
  <r>
    <x v="225"/>
    <x v="225"/>
    <x v="262"/>
    <x v="31"/>
    <s v="04954-17"/>
    <x v="35"/>
    <x v="7"/>
    <x v="3"/>
    <s v="RAVENSWOOD"/>
    <x v="3"/>
    <s v="26164"/>
  </r>
  <r>
    <x v="226"/>
    <x v="226"/>
    <x v="263"/>
    <x v="134"/>
    <s v="04954-01"/>
    <x v="162"/>
    <x v="7"/>
    <x v="3"/>
    <s v="PETROLEUM"/>
    <x v="3"/>
    <s v="26161"/>
  </r>
  <r>
    <x v="227"/>
    <x v="227"/>
    <x v="264"/>
    <x v="32"/>
    <s v="04954-14"/>
    <x v="36"/>
    <x v="7"/>
    <x v="3"/>
    <s v="PARKERSBURG"/>
    <x v="3"/>
    <s v="26101"/>
  </r>
  <r>
    <x v="228"/>
    <x v="228"/>
    <x v="265"/>
    <x v="135"/>
    <s v="04737-01"/>
    <x v="163"/>
    <x v="4"/>
    <x v="55"/>
    <s v="CEDARVILLE"/>
    <x v="0"/>
    <s v="45314"/>
  </r>
  <r>
    <x v="229"/>
    <x v="229"/>
    <x v="266"/>
    <x v="136"/>
    <s v="04784-01"/>
    <x v="164"/>
    <x v="4"/>
    <x v="55"/>
    <s v="SPRING VALLEY"/>
    <x v="0"/>
    <s v="45370"/>
  </r>
  <r>
    <x v="230"/>
    <x v="230"/>
    <x v="267"/>
    <x v="137"/>
    <s v="04601-01"/>
    <x v="165"/>
    <x v="6"/>
    <x v="12"/>
    <s v="MEDWAY"/>
    <x v="0"/>
    <s v="45341"/>
  </r>
  <r>
    <x v="231"/>
    <x v="231"/>
    <x v="268"/>
    <x v="138"/>
    <s v="04703-01"/>
    <x v="166"/>
    <x v="4"/>
    <x v="56"/>
    <s v="FAIRFIELD"/>
    <x v="0"/>
    <s v="45014"/>
  </r>
  <r>
    <x v="231"/>
    <x v="231"/>
    <x v="269"/>
    <x v="138"/>
    <s v="4703A-01"/>
    <x v="166"/>
    <x v="4"/>
    <x v="56"/>
    <s v="FAIRFIELD"/>
    <x v="0"/>
    <s v="45014"/>
  </r>
  <r>
    <x v="232"/>
    <x v="232"/>
    <x v="270"/>
    <x v="139"/>
    <s v="04705-01"/>
    <x v="167"/>
    <x v="4"/>
    <x v="57"/>
    <s v="FRANKLIN"/>
    <x v="0"/>
    <s v="45005"/>
  </r>
  <r>
    <x v="233"/>
    <x v="233"/>
    <x v="271"/>
    <x v="140"/>
    <s v="04708-01"/>
    <x v="168"/>
    <x v="4"/>
    <x v="56"/>
    <s v="HAMILTON"/>
    <x v="0"/>
    <s v="45011"/>
  </r>
  <r>
    <x v="234"/>
    <x v="234"/>
    <x v="272"/>
    <x v="141"/>
    <s v="04782-01"/>
    <x v="169"/>
    <x v="4"/>
    <x v="42"/>
    <s v="PETERSBURG"/>
    <x v="4"/>
    <s v="41080"/>
  </r>
  <r>
    <x v="235"/>
    <x v="235"/>
    <x v="273"/>
    <x v="142"/>
    <s v="04604-01"/>
    <x v="170"/>
    <x v="6"/>
    <x v="11"/>
    <s v="BROOKVILLE"/>
    <x v="0"/>
    <s v="45309"/>
  </r>
  <r>
    <x v="236"/>
    <x v="236"/>
    <x v="274"/>
    <x v="143"/>
    <s v="04715-01"/>
    <x v="171"/>
    <x v="4"/>
    <x v="56"/>
    <s v="ROSS"/>
    <x v="0"/>
    <s v="45014"/>
  </r>
  <r>
    <x v="237"/>
    <x v="237"/>
    <x v="275"/>
    <x v="144"/>
    <s v="04726-01"/>
    <x v="172"/>
    <x v="4"/>
    <x v="56"/>
    <s v="TRENTON"/>
    <x v="0"/>
    <s v="45067"/>
  </r>
  <r>
    <x v="238"/>
    <x v="238"/>
    <x v="276"/>
    <x v="145"/>
    <s v="04607-01"/>
    <x v="173"/>
    <x v="6"/>
    <x v="13"/>
    <s v="TROY"/>
    <x v="0"/>
    <s v="45373"/>
  </r>
  <r>
    <x v="239"/>
    <x v="239"/>
    <x v="277"/>
    <x v="58"/>
    <s v="04106-32"/>
    <x v="150"/>
    <x v="1"/>
    <x v="9"/>
    <s v="KENT"/>
    <x v="0"/>
    <s v="44240"/>
  </r>
  <r>
    <x v="240"/>
    <x v="240"/>
    <x v="278"/>
    <x v="69"/>
    <s v="04106-10"/>
    <x v="77"/>
    <x v="1"/>
    <x v="2"/>
    <s v="TWINSBURG"/>
    <x v="0"/>
    <s v="44087"/>
  </r>
  <r>
    <x v="241"/>
    <x v="241"/>
    <x v="279"/>
    <x v="12"/>
    <s v="04106-69"/>
    <x v="13"/>
    <x v="0"/>
    <x v="0"/>
    <s v="CLEVELAND"/>
    <x v="0"/>
    <s v="44135"/>
  </r>
  <r>
    <x v="242"/>
    <x v="242"/>
    <x v="280"/>
    <x v="11"/>
    <s v="04106-13"/>
    <x v="76"/>
    <x v="1"/>
    <x v="5"/>
    <s v="ALLIANCE"/>
    <x v="0"/>
    <s v="44601"/>
  </r>
  <r>
    <x v="243"/>
    <x v="243"/>
    <x v="281"/>
    <x v="146"/>
    <s v="04711-01"/>
    <x v="174"/>
    <x v="4"/>
    <x v="55"/>
    <s v="XENIA"/>
    <x v="0"/>
    <s v="45385"/>
  </r>
  <r>
    <x v="244"/>
    <x v="244"/>
    <x v="282"/>
    <x v="147"/>
    <s v="04212-01"/>
    <x v="175"/>
    <x v="2"/>
    <x v="58"/>
    <s v="PERRYSVILLE"/>
    <x v="0"/>
    <s v="44864"/>
  </r>
  <r>
    <x v="244"/>
    <x v="244"/>
    <x v="283"/>
    <x v="147"/>
    <s v="4212A-01"/>
    <x v="175"/>
    <x v="2"/>
    <x v="58"/>
    <s v="PERRYSVILLE"/>
    <x v="0"/>
    <s v="44864"/>
  </r>
  <r>
    <x v="245"/>
    <x v="245"/>
    <x v="284"/>
    <x v="148"/>
    <s v="04416-01"/>
    <x v="176"/>
    <x v="8"/>
    <x v="59"/>
    <s v="ZANESVILLE"/>
    <x v="0"/>
    <s v="43701"/>
  </r>
  <r>
    <x v="246"/>
    <x v="246"/>
    <x v="285"/>
    <x v="149"/>
    <s v="04903-01"/>
    <x v="177"/>
    <x v="7"/>
    <x v="43"/>
    <s v="HAYDENVILLE"/>
    <x v="0"/>
    <s v="43127"/>
  </r>
  <r>
    <x v="246"/>
    <x v="246"/>
    <x v="286"/>
    <x v="149"/>
    <s v="4903A-01"/>
    <x v="177"/>
    <x v="7"/>
    <x v="43"/>
    <s v="HAYDENVILLE"/>
    <x v="0"/>
    <s v="43127"/>
  </r>
  <r>
    <x v="247"/>
    <x v="247"/>
    <x v="287"/>
    <x v="93"/>
    <s v="4959A-01"/>
    <x v="178"/>
    <x v="7"/>
    <x v="43"/>
    <s v="LOGAN"/>
    <x v="0"/>
    <s v="43138"/>
  </r>
  <r>
    <x v="247"/>
    <x v="247"/>
    <x v="288"/>
    <x v="93"/>
    <s v="4959B-01"/>
    <x v="179"/>
    <x v="7"/>
    <x v="43"/>
    <s v="LOGAN"/>
    <x v="0"/>
    <s v="43138"/>
  </r>
  <r>
    <x v="248"/>
    <x v="248"/>
    <x v="289"/>
    <x v="150"/>
    <s v="4959A-84"/>
    <x v="180"/>
    <x v="8"/>
    <x v="60"/>
    <s v="LANCASTER"/>
    <x v="0"/>
    <s v="43130"/>
  </r>
  <r>
    <x v="249"/>
    <x v="249"/>
    <x v="290"/>
    <x v="22"/>
    <s v="04373-01"/>
    <x v="181"/>
    <x v="1"/>
    <x v="9"/>
    <s v="RAVENNA"/>
    <x v="0"/>
    <s v="44266"/>
  </r>
  <r>
    <x v="249"/>
    <x v="249"/>
    <x v="291"/>
    <x v="22"/>
    <s v="4373A-01"/>
    <x v="181"/>
    <x v="1"/>
    <x v="9"/>
    <s v="RAVENNA"/>
    <x v="0"/>
    <s v="44266"/>
  </r>
  <r>
    <x v="250"/>
    <x v="250"/>
    <x v="292"/>
    <x v="151"/>
    <s v="04807-01"/>
    <x v="182"/>
    <x v="3"/>
    <x v="61"/>
    <s v="CHILLICOTHE"/>
    <x v="0"/>
    <s v="45601"/>
  </r>
  <r>
    <x v="250"/>
    <x v="250"/>
    <x v="293"/>
    <x v="151"/>
    <s v="4807A-01"/>
    <x v="182"/>
    <x v="3"/>
    <x v="61"/>
    <s v="CHILLICOTHE"/>
    <x v="0"/>
    <s v="45601"/>
  </r>
  <r>
    <x v="251"/>
    <x v="251"/>
    <x v="294"/>
    <x v="152"/>
    <s v="04416-75"/>
    <x v="183"/>
    <x v="8"/>
    <x v="27"/>
    <s v="DERWENT"/>
    <x v="0"/>
    <s v="43733"/>
  </r>
  <r>
    <x v="252"/>
    <x v="252"/>
    <x v="295"/>
    <x v="148"/>
    <s v="4416A-01"/>
    <x v="184"/>
    <x v="8"/>
    <x v="59"/>
    <s v="ZANESVILLE"/>
    <x v="0"/>
    <s v="43701"/>
  </r>
  <r>
    <x v="253"/>
    <x v="253"/>
    <x v="296"/>
    <x v="153"/>
    <s v="04330-20"/>
    <x v="185"/>
    <x v="1"/>
    <x v="2"/>
    <s v="AKRON"/>
    <x v="0"/>
    <s v="44319"/>
  </r>
  <r>
    <x v="254"/>
    <x v="254"/>
    <x v="297"/>
    <x v="13"/>
    <s v="04352-01"/>
    <x v="186"/>
    <x v="1"/>
    <x v="5"/>
    <s v="MASSILLON"/>
    <x v="0"/>
    <s v="44646"/>
  </r>
  <r>
    <x v="254"/>
    <x v="254"/>
    <x v="298"/>
    <x v="13"/>
    <s v="4352A-01"/>
    <x v="187"/>
    <x v="1"/>
    <x v="5"/>
    <s v="MASSILLON"/>
    <x v="0"/>
    <s v="44646"/>
  </r>
  <r>
    <x v="255"/>
    <x v="255"/>
    <x v="299"/>
    <x v="14"/>
    <s v="04379-01"/>
    <x v="188"/>
    <x v="1"/>
    <x v="5"/>
    <s v="MASSILLON"/>
    <x v="0"/>
    <s v="44647"/>
  </r>
  <r>
    <x v="256"/>
    <x v="256"/>
    <x v="300"/>
    <x v="154"/>
    <s v="04435-01"/>
    <x v="189"/>
    <x v="8"/>
    <x v="62"/>
    <s v="MOUNT PERRY"/>
    <x v="0"/>
    <s v="43760"/>
  </r>
  <r>
    <x v="257"/>
    <x v="257"/>
    <x v="301"/>
    <x v="155"/>
    <s v="04308-01"/>
    <x v="190"/>
    <x v="1"/>
    <x v="3"/>
    <s v="WEST SPRINGFIELD"/>
    <x v="1"/>
    <s v="16443"/>
  </r>
  <r>
    <x v="258"/>
    <x v="258"/>
    <x v="302"/>
    <x v="156"/>
    <s v="04946-01"/>
    <x v="191"/>
    <x v="7"/>
    <x v="29"/>
    <s v="NELSONVILLE"/>
    <x v="0"/>
    <s v="45764"/>
  </r>
  <r>
    <x v="259"/>
    <x v="259"/>
    <x v="303"/>
    <x v="156"/>
    <s v="04961-01"/>
    <x v="191"/>
    <x v="7"/>
    <x v="29"/>
    <s v="NELSONVILLE"/>
    <x v="0"/>
    <s v="45764"/>
  </r>
  <r>
    <x v="260"/>
    <x v="260"/>
    <x v="304"/>
    <x v="157"/>
    <s v="04637-01"/>
    <x v="192"/>
    <x v="6"/>
    <x v="63"/>
    <s v="MECHANICSBURG"/>
    <x v="0"/>
    <s v="43044"/>
  </r>
  <r>
    <x v="261"/>
    <x v="261"/>
    <x v="305"/>
    <x v="158"/>
    <s v="04777-01"/>
    <x v="193"/>
    <x v="4"/>
    <x v="55"/>
    <s v="SABINA"/>
    <x v="0"/>
    <s v="45169"/>
  </r>
  <r>
    <x v="262"/>
    <x v="262"/>
    <x v="306"/>
    <x v="159"/>
    <s v="04526-01"/>
    <x v="194"/>
    <x v="11"/>
    <x v="64"/>
    <s v="CIRCLEVILLE"/>
    <x v="0"/>
    <s v="43113"/>
  </r>
  <r>
    <x v="262"/>
    <x v="262"/>
    <x v="307"/>
    <x v="159"/>
    <s v="4526A-01"/>
    <x v="194"/>
    <x v="11"/>
    <x v="64"/>
    <s v="CIRCLEVILLE"/>
    <x v="0"/>
    <s v="43113"/>
  </r>
  <r>
    <x v="263"/>
    <x v="263"/>
    <x v="308"/>
    <x v="146"/>
    <s v="04794-01"/>
    <x v="195"/>
    <x v="4"/>
    <x v="55"/>
    <s v="XENIA"/>
    <x v="0"/>
    <s v="45385"/>
  </r>
  <r>
    <x v="264"/>
    <x v="264"/>
    <x v="309"/>
    <x v="160"/>
    <s v="04721-01"/>
    <x v="196"/>
    <x v="4"/>
    <x v="65"/>
    <s v="WILMINGTON"/>
    <x v="0"/>
    <s v="45177"/>
  </r>
  <r>
    <x v="265"/>
    <x v="265"/>
    <x v="310"/>
    <x v="93"/>
    <s v="04721-77"/>
    <x v="197"/>
    <x v="7"/>
    <x v="43"/>
    <s v="LOGAN"/>
    <x v="0"/>
    <s v="43138"/>
  </r>
  <r>
    <x v="266"/>
    <x v="266"/>
    <x v="311"/>
    <x v="39"/>
    <s v="04721-76"/>
    <x v="198"/>
    <x v="4"/>
    <x v="21"/>
    <s v="CINCINNATI"/>
    <x v="0"/>
    <s v="45226"/>
  </r>
  <r>
    <x v="267"/>
    <x v="267"/>
    <x v="312"/>
    <x v="39"/>
    <s v="04721-16"/>
    <x v="199"/>
    <x v="4"/>
    <x v="21"/>
    <s v="CINCINNATI"/>
    <x v="0"/>
    <s v="45226"/>
  </r>
  <r>
    <x v="268"/>
    <x v="268"/>
    <x v="313"/>
    <x v="161"/>
    <s v="04721-94"/>
    <x v="200"/>
    <x v="4"/>
    <x v="53"/>
    <s v="HARRISON"/>
    <x v="0"/>
    <s v="45030"/>
  </r>
  <r>
    <x v="269"/>
    <x v="269"/>
    <x v="314"/>
    <x v="162"/>
    <s v="04707-01"/>
    <x v="201"/>
    <x v="4"/>
    <x v="56"/>
    <s v="MIDDLETOWN"/>
    <x v="0"/>
    <s v="45044"/>
  </r>
  <r>
    <x v="270"/>
    <x v="270"/>
    <x v="315"/>
    <x v="112"/>
    <s v="04822-01"/>
    <x v="202"/>
    <x v="3"/>
    <x v="30"/>
    <s v="OAK HILL"/>
    <x v="0"/>
    <s v="45656"/>
  </r>
  <r>
    <x v="271"/>
    <x v="271"/>
    <x v="316"/>
    <x v="163"/>
    <s v="04836-01"/>
    <x v="203"/>
    <x v="3"/>
    <x v="61"/>
    <s v="WASHINGTON COURT HOUSE"/>
    <x v="0"/>
    <s v="43160"/>
  </r>
  <r>
    <x v="272"/>
    <x v="272"/>
    <x v="317"/>
    <x v="111"/>
    <s v="04836-48"/>
    <x v="130"/>
    <x v="7"/>
    <x v="29"/>
    <s v="ALBANY"/>
    <x v="0"/>
    <s v="45710"/>
  </r>
  <r>
    <x v="273"/>
    <x v="273"/>
    <x v="318"/>
    <x v="66"/>
    <s v="4907A-01"/>
    <x v="204"/>
    <x v="3"/>
    <x v="30"/>
    <s v="WELLSTON"/>
    <x v="0"/>
    <s v="45692"/>
  </r>
  <r>
    <x v="274"/>
    <x v="274"/>
    <x v="319"/>
    <x v="164"/>
    <s v="04511-01"/>
    <x v="205"/>
    <x v="11"/>
    <x v="66"/>
    <s v="NEW HOLLAND"/>
    <x v="0"/>
    <s v="43145"/>
  </r>
  <r>
    <x v="275"/>
    <x v="275"/>
    <x v="320"/>
    <x v="165"/>
    <s v="04107-01"/>
    <x v="206"/>
    <x v="5"/>
    <x v="50"/>
    <s v="TIFFIN"/>
    <x v="0"/>
    <s v="44883"/>
  </r>
  <r>
    <x v="276"/>
    <x v="276"/>
    <x v="321"/>
    <x v="11"/>
    <s v="04107-13"/>
    <x v="76"/>
    <x v="1"/>
    <x v="5"/>
    <s v="ALLIANCE"/>
    <x v="0"/>
    <s v="44601"/>
  </r>
  <r>
    <x v="277"/>
    <x v="277"/>
    <x v="322"/>
    <x v="69"/>
    <s v="04107-10"/>
    <x v="77"/>
    <x v="1"/>
    <x v="2"/>
    <s v="TWINSBURG"/>
    <x v="0"/>
    <s v="44087"/>
  </r>
  <r>
    <x v="278"/>
    <x v="278"/>
    <x v="323"/>
    <x v="166"/>
    <s v="04723-01"/>
    <x v="207"/>
    <x v="4"/>
    <x v="57"/>
    <s v="MORROW"/>
    <x v="0"/>
    <s v="45152"/>
  </r>
  <r>
    <x v="279"/>
    <x v="279"/>
    <x v="324"/>
    <x v="26"/>
    <s v="04612-01"/>
    <x v="208"/>
    <x v="6"/>
    <x v="13"/>
    <s v="LUDLOW FALLS"/>
    <x v="0"/>
    <s v="45339"/>
  </r>
  <r>
    <x v="280"/>
    <x v="280"/>
    <x v="325"/>
    <x v="136"/>
    <s v="04790-01"/>
    <x v="209"/>
    <x v="4"/>
    <x v="55"/>
    <s v="SPRING VALLEY"/>
    <x v="0"/>
    <s v="45370"/>
  </r>
  <r>
    <x v="281"/>
    <x v="281"/>
    <x v="326"/>
    <x v="167"/>
    <s v="04851-01"/>
    <x v="210"/>
    <x v="3"/>
    <x v="42"/>
    <s v="OLIVE HILL"/>
    <x v="4"/>
    <s v="41164"/>
  </r>
  <r>
    <x v="282"/>
    <x v="282"/>
    <x v="327"/>
    <x v="167"/>
    <s v="04816-01"/>
    <x v="211"/>
    <x v="3"/>
    <x v="3"/>
    <s v="OLIVE HILL"/>
    <x v="4"/>
    <s v="41164"/>
  </r>
  <r>
    <x v="283"/>
    <x v="283"/>
    <x v="328"/>
    <x v="168"/>
    <s v="04932-97"/>
    <x v="212"/>
    <x v="4"/>
    <x v="21"/>
    <s v="CINCINNATI"/>
    <x v="0"/>
    <s v="45203"/>
  </r>
  <r>
    <x v="284"/>
    <x v="284"/>
    <x v="329"/>
    <x v="29"/>
    <s v="04932-45"/>
    <x v="33"/>
    <x v="7"/>
    <x v="15"/>
    <s v="MARIETTA"/>
    <x v="0"/>
    <s v="45750"/>
  </r>
  <r>
    <x v="285"/>
    <x v="285"/>
    <x v="330"/>
    <x v="46"/>
    <s v="04932-81"/>
    <x v="51"/>
    <x v="7"/>
    <x v="67"/>
    <s v="SARDIS"/>
    <x v="0"/>
    <s v="43946"/>
  </r>
  <r>
    <x v="286"/>
    <x v="286"/>
    <x v="331"/>
    <x v="91"/>
    <s v="04932-50"/>
    <x v="100"/>
    <x v="9"/>
    <x v="23"/>
    <s v="MOUNDSVILLE"/>
    <x v="3"/>
    <s v="26041"/>
  </r>
  <r>
    <x v="287"/>
    <x v="287"/>
    <x v="332"/>
    <x v="169"/>
    <s v="04932-36"/>
    <x v="213"/>
    <x v="7"/>
    <x v="68"/>
    <s v="GALLIPOLIS"/>
    <x v="0"/>
    <s v="45669"/>
  </r>
  <r>
    <x v="288"/>
    <x v="288"/>
    <x v="333"/>
    <x v="105"/>
    <s v="04932-33"/>
    <x v="214"/>
    <x v="7"/>
    <x v="15"/>
    <s v="BELPRE"/>
    <x v="0"/>
    <s v="45714"/>
  </r>
  <r>
    <x v="289"/>
    <x v="289"/>
    <x v="334"/>
    <x v="29"/>
    <s v="04932-35"/>
    <x v="215"/>
    <x v="7"/>
    <x v="15"/>
    <s v="MARIETTA"/>
    <x v="0"/>
    <s v="45750"/>
  </r>
  <r>
    <x v="290"/>
    <x v="290"/>
    <x v="335"/>
    <x v="170"/>
    <s v="04933-85"/>
    <x v="216"/>
    <x v="7"/>
    <x v="23"/>
    <s v="ST. MARY'S"/>
    <x v="3"/>
    <s v="26170"/>
  </r>
  <r>
    <x v="291"/>
    <x v="291"/>
    <x v="336"/>
    <x v="46"/>
    <s v="04933-81"/>
    <x v="51"/>
    <x v="7"/>
    <x v="24"/>
    <s v="SARDIS"/>
    <x v="0"/>
    <s v="43946"/>
  </r>
  <r>
    <x v="292"/>
    <x v="292"/>
    <x v="337"/>
    <x v="47"/>
    <s v="04933-82"/>
    <x v="217"/>
    <x v="7"/>
    <x v="24"/>
    <s v="CLARINGTON"/>
    <x v="0"/>
    <s v="43915"/>
  </r>
  <r>
    <x v="293"/>
    <x v="293"/>
    <x v="338"/>
    <x v="169"/>
    <s v="04933-36"/>
    <x v="213"/>
    <x v="7"/>
    <x v="68"/>
    <s v="GALLIPOLIS"/>
    <x v="0"/>
    <s v="45669"/>
  </r>
  <r>
    <x v="294"/>
    <x v="294"/>
    <x v="339"/>
    <x v="105"/>
    <s v="04933-33"/>
    <x v="214"/>
    <x v="7"/>
    <x v="15"/>
    <s v="BELPRE"/>
    <x v="0"/>
    <s v="45714"/>
  </r>
  <r>
    <x v="295"/>
    <x v="295"/>
    <x v="340"/>
    <x v="171"/>
    <s v="04933-80"/>
    <x v="218"/>
    <x v="9"/>
    <x v="25"/>
    <s v="BELLAIRE"/>
    <x v="0"/>
    <s v="43906"/>
  </r>
  <r>
    <x v="296"/>
    <x v="296"/>
    <x v="341"/>
    <x v="29"/>
    <s v="04933-35"/>
    <x v="215"/>
    <x v="7"/>
    <x v="15"/>
    <s v="MARIETTA"/>
    <x v="0"/>
    <s v="45750"/>
  </r>
  <r>
    <x v="297"/>
    <x v="297"/>
    <x v="342"/>
    <x v="29"/>
    <s v="04769-35"/>
    <x v="219"/>
    <x v="7"/>
    <x v="15"/>
    <s v="MARIETTA"/>
    <x v="0"/>
    <s v="45750"/>
  </r>
  <r>
    <x v="298"/>
    <x v="298"/>
    <x v="343"/>
    <x v="29"/>
    <s v="04933-45"/>
    <x v="54"/>
    <x v="7"/>
    <x v="15"/>
    <s v="MARIETTA"/>
    <x v="0"/>
    <s v="45750"/>
  </r>
  <r>
    <x v="299"/>
    <x v="299"/>
    <x v="344"/>
    <x v="48"/>
    <s v="04933-99"/>
    <x v="53"/>
    <x v="9"/>
    <x v="25"/>
    <s v="MORRISTOWN"/>
    <x v="0"/>
    <s v="43759"/>
  </r>
  <r>
    <x v="300"/>
    <x v="300"/>
    <x v="345"/>
    <x v="44"/>
    <s v="04769-44"/>
    <x v="49"/>
    <x v="9"/>
    <x v="3"/>
    <s v="BENWOOD"/>
    <x v="3"/>
    <s v="26031"/>
  </r>
  <r>
    <x v="301"/>
    <x v="301"/>
    <x v="346"/>
    <x v="29"/>
    <s v="04769-45"/>
    <x v="33"/>
    <x v="7"/>
    <x v="15"/>
    <s v="MARIETTA"/>
    <x v="0"/>
    <s v="45750"/>
  </r>
  <r>
    <x v="302"/>
    <x v="302"/>
    <x v="347"/>
    <x v="170"/>
    <s v="04769-85"/>
    <x v="216"/>
    <x v="7"/>
    <x v="23"/>
    <s v="ST. MARY'S"/>
    <x v="3"/>
    <s v="26170"/>
  </r>
  <r>
    <x v="303"/>
    <x v="303"/>
    <x v="348"/>
    <x v="46"/>
    <s v="04769-81"/>
    <x v="51"/>
    <x v="7"/>
    <x v="24"/>
    <s v="SARDIS"/>
    <x v="0"/>
    <s v="43946"/>
  </r>
  <r>
    <x v="304"/>
    <x v="304"/>
    <x v="349"/>
    <x v="105"/>
    <s v="04769-33"/>
    <x v="220"/>
    <x v="7"/>
    <x v="15"/>
    <s v="BELPRE"/>
    <x v="0"/>
    <s v="45714"/>
  </r>
  <r>
    <x v="305"/>
    <x v="305"/>
    <x v="350"/>
    <x v="169"/>
    <s v="04769-36"/>
    <x v="213"/>
    <x v="7"/>
    <x v="68"/>
    <s v="GALLIPOLIS"/>
    <x v="0"/>
    <s v="45669"/>
  </r>
  <r>
    <x v="306"/>
    <x v="306"/>
    <x v="351"/>
    <x v="171"/>
    <s v="04769-80"/>
    <x v="218"/>
    <x v="9"/>
    <x v="25"/>
    <s v="BELLAIRE"/>
    <x v="0"/>
    <s v="43906"/>
  </r>
  <r>
    <x v="307"/>
    <x v="307"/>
    <x v="352"/>
    <x v="104"/>
    <s v="04019-01"/>
    <x v="221"/>
    <x v="10"/>
    <x v="46"/>
    <s v="UPPER SANDUSKY"/>
    <x v="0"/>
    <s v="43351"/>
  </r>
  <r>
    <x v="308"/>
    <x v="308"/>
    <x v="353"/>
    <x v="172"/>
    <s v="04541-01"/>
    <x v="222"/>
    <x v="11"/>
    <x v="69"/>
    <s v="LOCKBOURNE"/>
    <x v="0"/>
    <s v="43137"/>
  </r>
  <r>
    <x v="309"/>
    <x v="309"/>
    <x v="354"/>
    <x v="173"/>
    <s v="4636B-01"/>
    <x v="223"/>
    <x v="6"/>
    <x v="70"/>
    <s v="WAPAKONETA"/>
    <x v="0"/>
    <s v="45819"/>
  </r>
  <r>
    <x v="310"/>
    <x v="310"/>
    <x v="355"/>
    <x v="174"/>
    <s v="04202-01"/>
    <x v="224"/>
    <x v="2"/>
    <x v="71"/>
    <s v="BUCYRUS"/>
    <x v="0"/>
    <s v="44820"/>
  </r>
  <r>
    <x v="310"/>
    <x v="310"/>
    <x v="356"/>
    <x v="174"/>
    <s v="4202A-01"/>
    <x v="224"/>
    <x v="2"/>
    <x v="71"/>
    <s v="BUCYRUS"/>
    <x v="0"/>
    <s v="44820"/>
  </r>
  <r>
    <x v="311"/>
    <x v="311"/>
    <x v="357"/>
    <x v="175"/>
    <s v="04202-74"/>
    <x v="225"/>
    <x v="8"/>
    <x v="27"/>
    <s v="CAMBRIDGE"/>
    <x v="0"/>
    <s v="43725"/>
  </r>
  <r>
    <x v="312"/>
    <x v="312"/>
    <x v="358"/>
    <x v="176"/>
    <s v="04202-41"/>
    <x v="226"/>
    <x v="8"/>
    <x v="26"/>
    <s v="COSHOCTON"/>
    <x v="0"/>
    <s v="43812"/>
  </r>
  <r>
    <x v="313"/>
    <x v="313"/>
    <x v="359"/>
    <x v="58"/>
    <s v="04202-32"/>
    <x v="150"/>
    <x v="1"/>
    <x v="9"/>
    <s v="KENT"/>
    <x v="0"/>
    <s v="44240"/>
  </r>
  <r>
    <x v="314"/>
    <x v="314"/>
    <x v="360"/>
    <x v="121"/>
    <s v="04202-22"/>
    <x v="143"/>
    <x v="1"/>
    <x v="5"/>
    <s v="CANTON"/>
    <x v="0"/>
    <s v="44707"/>
  </r>
  <r>
    <x v="315"/>
    <x v="315"/>
    <x v="361"/>
    <x v="177"/>
    <s v="04202-63"/>
    <x v="227"/>
    <x v="0"/>
    <x v="0"/>
    <s v="CUYAHOGA HEIGHTS"/>
    <x v="0"/>
    <s v="44105"/>
  </r>
  <r>
    <x v="316"/>
    <x v="316"/>
    <x v="362"/>
    <x v="178"/>
    <s v="04202-19"/>
    <x v="228"/>
    <x v="2"/>
    <x v="72"/>
    <s v="WOOSTER"/>
    <x v="0"/>
    <s v="44691"/>
  </r>
  <r>
    <x v="316"/>
    <x v="316"/>
    <x v="363"/>
    <x v="178"/>
    <s v="4202A-19"/>
    <x v="229"/>
    <x v="2"/>
    <x v="72"/>
    <s v="WOOSTER"/>
    <x v="0"/>
    <s v="44691"/>
  </r>
  <r>
    <x v="317"/>
    <x v="317"/>
    <x v="364"/>
    <x v="179"/>
    <s v="04006-01"/>
    <x v="230"/>
    <x v="10"/>
    <x v="46"/>
    <s v="CAREY"/>
    <x v="0"/>
    <s v="43316"/>
  </r>
  <r>
    <x v="318"/>
    <x v="318"/>
    <x v="365"/>
    <x v="180"/>
    <s v="04006-73"/>
    <x v="231"/>
    <x v="9"/>
    <x v="53"/>
    <s v="CADIZ"/>
    <x v="0"/>
    <s v="43907"/>
  </r>
  <r>
    <x v="319"/>
    <x v="319"/>
    <x v="366"/>
    <x v="175"/>
    <s v="04006-74"/>
    <x v="225"/>
    <x v="8"/>
    <x v="27"/>
    <s v="CAMBRIDGE"/>
    <x v="0"/>
    <s v="43725"/>
  </r>
  <r>
    <x v="320"/>
    <x v="320"/>
    <x v="367"/>
    <x v="176"/>
    <s v="04006-41"/>
    <x v="226"/>
    <x v="8"/>
    <x v="26"/>
    <s v="COSHOCTON"/>
    <x v="0"/>
    <s v="43812"/>
  </r>
  <r>
    <x v="321"/>
    <x v="321"/>
    <x v="368"/>
    <x v="122"/>
    <s v="04006-67"/>
    <x v="232"/>
    <x v="9"/>
    <x v="25"/>
    <s v="MARTINS FERRY"/>
    <x v="0"/>
    <s v="43935"/>
  </r>
  <r>
    <x v="322"/>
    <x v="322"/>
    <x v="369"/>
    <x v="181"/>
    <s v="04006-26"/>
    <x v="233"/>
    <x v="9"/>
    <x v="45"/>
    <s v="NEW PHILADELPHIA"/>
    <x v="0"/>
    <s v="44663"/>
  </r>
  <r>
    <x v="323"/>
    <x v="323"/>
    <x v="370"/>
    <x v="182"/>
    <s v="04006-20"/>
    <x v="234"/>
    <x v="1"/>
    <x v="2"/>
    <s v="AKRON"/>
    <x v="0"/>
    <s v="44309"/>
  </r>
  <r>
    <x v="324"/>
    <x v="324"/>
    <x v="371"/>
    <x v="179"/>
    <s v="04030-01"/>
    <x v="230"/>
    <x v="10"/>
    <x v="46"/>
    <s v="CAREY"/>
    <x v="0"/>
    <s v="43316"/>
  </r>
  <r>
    <x v="325"/>
    <x v="325"/>
    <x v="372"/>
    <x v="180"/>
    <s v="04030-73"/>
    <x v="235"/>
    <x v="9"/>
    <x v="53"/>
    <s v="CADIZ"/>
    <x v="0"/>
    <s v="43907"/>
  </r>
  <r>
    <x v="326"/>
    <x v="326"/>
    <x v="373"/>
    <x v="175"/>
    <s v="04030-74"/>
    <x v="225"/>
    <x v="8"/>
    <x v="27"/>
    <s v="CAMBRIDGE"/>
    <x v="0"/>
    <s v="43725"/>
  </r>
  <r>
    <x v="327"/>
    <x v="327"/>
    <x v="374"/>
    <x v="177"/>
    <s v="04030-63"/>
    <x v="227"/>
    <x v="0"/>
    <x v="0"/>
    <s v="CUYAHOGA HEIGHTS"/>
    <x v="0"/>
    <s v="44105"/>
  </r>
  <r>
    <x v="328"/>
    <x v="328"/>
    <x v="375"/>
    <x v="176"/>
    <s v="04030-41"/>
    <x v="226"/>
    <x v="8"/>
    <x v="26"/>
    <s v="COSHOCTON"/>
    <x v="0"/>
    <s v="43812"/>
  </r>
  <r>
    <x v="329"/>
    <x v="329"/>
    <x v="376"/>
    <x v="183"/>
    <s v="04030-64"/>
    <x v="236"/>
    <x v="1"/>
    <x v="3"/>
    <s v="ERIE"/>
    <x v="1"/>
    <s v="16505"/>
  </r>
  <r>
    <x v="330"/>
    <x v="330"/>
    <x v="377"/>
    <x v="122"/>
    <s v="04030-67"/>
    <x v="232"/>
    <x v="9"/>
    <x v="25"/>
    <s v="MARTINS FERRY"/>
    <x v="0"/>
    <s v="43935"/>
  </r>
  <r>
    <x v="331"/>
    <x v="331"/>
    <x v="378"/>
    <x v="13"/>
    <s v="04030-40"/>
    <x v="237"/>
    <x v="1"/>
    <x v="5"/>
    <s v="MASSILLON"/>
    <x v="0"/>
    <s v="44646"/>
  </r>
  <r>
    <x v="332"/>
    <x v="332"/>
    <x v="379"/>
    <x v="181"/>
    <s v="04030-26"/>
    <x v="233"/>
    <x v="9"/>
    <x v="45"/>
    <s v="NEW PHILADELPHIA"/>
    <x v="0"/>
    <s v="44663"/>
  </r>
  <r>
    <x v="333"/>
    <x v="333"/>
    <x v="380"/>
    <x v="178"/>
    <s v="04030-19"/>
    <x v="228"/>
    <x v="2"/>
    <x v="72"/>
    <s v="WOOSTER"/>
    <x v="0"/>
    <s v="44691"/>
  </r>
  <r>
    <x v="334"/>
    <x v="334"/>
    <x v="381"/>
    <x v="182"/>
    <s v="04030-20"/>
    <x v="234"/>
    <x v="1"/>
    <x v="2"/>
    <s v="AKRON"/>
    <x v="0"/>
    <s v="44309"/>
  </r>
  <r>
    <x v="335"/>
    <x v="335"/>
    <x v="382"/>
    <x v="121"/>
    <s v="04030-22"/>
    <x v="143"/>
    <x v="1"/>
    <x v="5"/>
    <s v="CANTON"/>
    <x v="0"/>
    <s v="44707"/>
  </r>
  <r>
    <x v="336"/>
    <x v="336"/>
    <x v="383"/>
    <x v="46"/>
    <s v="04030-81"/>
    <x v="51"/>
    <x v="7"/>
    <x v="24"/>
    <s v="SARDIS"/>
    <x v="0"/>
    <s v="43946"/>
  </r>
  <r>
    <x v="337"/>
    <x v="337"/>
    <x v="384"/>
    <x v="184"/>
    <s v="04521-01"/>
    <x v="238"/>
    <x v="11"/>
    <x v="73"/>
    <s v="CHESTERVILLE"/>
    <x v="0"/>
    <s v="43317"/>
  </r>
  <r>
    <x v="338"/>
    <x v="338"/>
    <x v="385"/>
    <x v="185"/>
    <s v="04505-01"/>
    <x v="239"/>
    <x v="11"/>
    <x v="74"/>
    <s v="DELAWARE"/>
    <x v="0"/>
    <s v="43015"/>
  </r>
  <r>
    <x v="338"/>
    <x v="338"/>
    <x v="386"/>
    <x v="185"/>
    <s v="4505B-01"/>
    <x v="240"/>
    <x v="11"/>
    <x v="74"/>
    <s v="DELAWARE"/>
    <x v="0"/>
    <s v="43015"/>
  </r>
  <r>
    <x v="339"/>
    <x v="339"/>
    <x v="387"/>
    <x v="175"/>
    <s v="04505-74"/>
    <x v="225"/>
    <x v="8"/>
    <x v="27"/>
    <s v="CAMBRIDGE"/>
    <x v="0"/>
    <s v="43725"/>
  </r>
  <r>
    <x v="340"/>
    <x v="340"/>
    <x v="388"/>
    <x v="121"/>
    <s v="04505-22"/>
    <x v="143"/>
    <x v="1"/>
    <x v="5"/>
    <s v="CANTON"/>
    <x v="0"/>
    <s v="44707"/>
  </r>
  <r>
    <x v="341"/>
    <x v="341"/>
    <x v="389"/>
    <x v="177"/>
    <s v="04505-63"/>
    <x v="227"/>
    <x v="0"/>
    <x v="0"/>
    <s v="CUYAHOGA HEIGHTS"/>
    <x v="0"/>
    <s v="44105"/>
  </r>
  <r>
    <x v="342"/>
    <x v="342"/>
    <x v="390"/>
    <x v="186"/>
    <s v="04015-01"/>
    <x v="241"/>
    <x v="10"/>
    <x v="75"/>
    <s v="DELPHOS"/>
    <x v="0"/>
    <s v="45833"/>
  </r>
  <r>
    <x v="343"/>
    <x v="343"/>
    <x v="391"/>
    <x v="187"/>
    <s v="04007-01"/>
    <x v="242"/>
    <x v="10"/>
    <x v="76"/>
    <s v="FINDLAY"/>
    <x v="0"/>
    <s v="45839"/>
  </r>
  <r>
    <x v="344"/>
    <x v="344"/>
    <x v="392"/>
    <x v="188"/>
    <s v="04007-20"/>
    <x v="234"/>
    <x v="1"/>
    <x v="2"/>
    <s v="AKRON"/>
    <x v="0"/>
    <s v="44301"/>
  </r>
  <r>
    <x v="345"/>
    <x v="345"/>
    <x v="393"/>
    <x v="121"/>
    <s v="04007-22"/>
    <x v="143"/>
    <x v="1"/>
    <x v="5"/>
    <s v="CANTON"/>
    <x v="0"/>
    <s v="44707"/>
  </r>
  <r>
    <x v="346"/>
    <x v="346"/>
    <x v="394"/>
    <x v="178"/>
    <s v="04007-19"/>
    <x v="228"/>
    <x v="2"/>
    <x v="72"/>
    <s v="WOOSTER"/>
    <x v="0"/>
    <s v="44691"/>
  </r>
  <r>
    <x v="347"/>
    <x v="347"/>
    <x v="395"/>
    <x v="189"/>
    <s v="04008-01"/>
    <x v="243"/>
    <x v="10"/>
    <x v="37"/>
    <s v="LIMA"/>
    <x v="0"/>
    <s v="45802"/>
  </r>
  <r>
    <x v="347"/>
    <x v="347"/>
    <x v="396"/>
    <x v="189"/>
    <s v="4008B-01"/>
    <x v="243"/>
    <x v="10"/>
    <x v="37"/>
    <s v="LIMA"/>
    <x v="0"/>
    <s v="45802"/>
  </r>
  <r>
    <x v="348"/>
    <x v="348"/>
    <x v="397"/>
    <x v="153"/>
    <s v="05047-20"/>
    <x v="185"/>
    <x v="1"/>
    <x v="2"/>
    <s v="AKRON"/>
    <x v="0"/>
    <s v="44319"/>
  </r>
  <r>
    <x v="349"/>
    <x v="349"/>
    <x v="398"/>
    <x v="121"/>
    <s v="05047-22"/>
    <x v="244"/>
    <x v="6"/>
    <x v="5"/>
    <s v="CANTON"/>
    <x v="0"/>
    <s v="44707"/>
  </r>
  <r>
    <x v="350"/>
    <x v="350"/>
    <x v="399"/>
    <x v="176"/>
    <s v="05047-41"/>
    <x v="245"/>
    <x v="8"/>
    <x v="26"/>
    <s v="COSHOCTON"/>
    <x v="0"/>
    <s v="43812"/>
  </r>
  <r>
    <x v="351"/>
    <x v="351"/>
    <x v="400"/>
    <x v="181"/>
    <s v="05047-26"/>
    <x v="246"/>
    <x v="9"/>
    <x v="45"/>
    <s v="NEW PHILADELPHIA"/>
    <x v="0"/>
    <s v="44663"/>
  </r>
  <r>
    <x v="352"/>
    <x v="352"/>
    <x v="401"/>
    <x v="178"/>
    <s v="05047-19"/>
    <x v="247"/>
    <x v="2"/>
    <x v="72"/>
    <s v="WOOSTER"/>
    <x v="0"/>
    <s v="44691"/>
  </r>
  <r>
    <x v="353"/>
    <x v="353"/>
    <x v="402"/>
    <x v="190"/>
    <s v="04512-01"/>
    <x v="248"/>
    <x v="11"/>
    <x v="77"/>
    <s v="MARION"/>
    <x v="0"/>
    <s v="43302"/>
  </r>
  <r>
    <x v="353"/>
    <x v="353"/>
    <x v="403"/>
    <x v="190"/>
    <s v="4512A-01"/>
    <x v="248"/>
    <x v="11"/>
    <x v="77"/>
    <s v="MARION"/>
    <x v="0"/>
    <s v="43302"/>
  </r>
  <r>
    <x v="354"/>
    <x v="354"/>
    <x v="404"/>
    <x v="191"/>
    <s v="04011-01"/>
    <x v="249"/>
    <x v="10"/>
    <x v="78"/>
    <s v="OTTAWA"/>
    <x v="0"/>
    <s v="45875"/>
  </r>
  <r>
    <x v="355"/>
    <x v="355"/>
    <x v="405"/>
    <x v="192"/>
    <s v="04027-01"/>
    <x v="250"/>
    <x v="10"/>
    <x v="78"/>
    <s v="RIMER"/>
    <x v="0"/>
    <s v="45830"/>
  </r>
  <r>
    <x v="356"/>
    <x v="356"/>
    <x v="406"/>
    <x v="121"/>
    <s v="05073-22"/>
    <x v="244"/>
    <x v="1"/>
    <x v="5"/>
    <s v="CANTON"/>
    <x v="0"/>
    <s v="44707"/>
  </r>
  <r>
    <x v="357"/>
    <x v="357"/>
    <x v="407"/>
    <x v="153"/>
    <s v="05073-20"/>
    <x v="185"/>
    <x v="1"/>
    <x v="2"/>
    <s v="AKRON"/>
    <x v="0"/>
    <s v="44319"/>
  </r>
  <r>
    <x v="358"/>
    <x v="358"/>
    <x v="408"/>
    <x v="176"/>
    <s v="05073-41"/>
    <x v="245"/>
    <x v="8"/>
    <x v="26"/>
    <s v="COSHOCTON"/>
    <x v="0"/>
    <s v="43812"/>
  </r>
  <r>
    <x v="359"/>
    <x v="359"/>
    <x v="409"/>
    <x v="178"/>
    <s v="05073-19"/>
    <x v="251"/>
    <x v="2"/>
    <x v="72"/>
    <s v="WOOSTER"/>
    <x v="0"/>
    <s v="44691"/>
  </r>
  <r>
    <x v="360"/>
    <x v="360"/>
    <x v="410"/>
    <x v="181"/>
    <s v="05073-26"/>
    <x v="246"/>
    <x v="9"/>
    <x v="45"/>
    <s v="NEW PHILADELPHIA"/>
    <x v="0"/>
    <s v="44663"/>
  </r>
  <r>
    <x v="361"/>
    <x v="361"/>
    <x v="411"/>
    <x v="193"/>
    <s v="04629-01"/>
    <x v="252"/>
    <x v="6"/>
    <x v="28"/>
    <s v="BELLEFONTAINE"/>
    <x v="0"/>
    <s v="43311"/>
  </r>
  <r>
    <x v="362"/>
    <x v="362"/>
    <x v="412"/>
    <x v="194"/>
    <s v="04301-01"/>
    <x v="253"/>
    <x v="1"/>
    <x v="20"/>
    <s v="KINGSVILLE"/>
    <x v="0"/>
    <s v="44048"/>
  </r>
  <r>
    <x v="363"/>
    <x v="363"/>
    <x v="413"/>
    <x v="195"/>
    <s v="04310-01"/>
    <x v="254"/>
    <x v="1"/>
    <x v="79"/>
    <s v="MINERAL RIDGE"/>
    <x v="0"/>
    <s v="44440"/>
  </r>
  <r>
    <x v="364"/>
    <x v="364"/>
    <x v="414"/>
    <x v="141"/>
    <s v="04745-01"/>
    <x v="255"/>
    <x v="4"/>
    <x v="3"/>
    <s v="PETERSBURG"/>
    <x v="4"/>
    <s v="41080"/>
  </r>
  <r>
    <x v="364"/>
    <x v="364"/>
    <x v="415"/>
    <x v="141"/>
    <s v="4745A-01"/>
    <x v="255"/>
    <x v="4"/>
    <x v="3"/>
    <s v="PETERSBURG"/>
    <x v="4"/>
    <s v="41080"/>
  </r>
  <r>
    <x v="365"/>
    <x v="365"/>
    <x v="416"/>
    <x v="196"/>
    <s v="04724-01"/>
    <x v="256"/>
    <x v="4"/>
    <x v="57"/>
    <s v="LEBANON"/>
    <x v="0"/>
    <s v="45036"/>
  </r>
  <r>
    <x v="366"/>
    <x v="366"/>
    <x v="417"/>
    <x v="70"/>
    <s v="04819-01"/>
    <x v="257"/>
    <x v="3"/>
    <x v="32"/>
    <s v="HILLSBORO"/>
    <x v="0"/>
    <s v="45133"/>
  </r>
  <r>
    <x v="367"/>
    <x v="367"/>
    <x v="418"/>
    <x v="197"/>
    <s v="04509-01"/>
    <x v="258"/>
    <x v="11"/>
    <x v="69"/>
    <s v="COLUMBUS"/>
    <x v="0"/>
    <s v="43207"/>
  </r>
  <r>
    <x v="367"/>
    <x v="367"/>
    <x v="419"/>
    <x v="197"/>
    <s v="4509A-01"/>
    <x v="259"/>
    <x v="11"/>
    <x v="69"/>
    <s v="COLUMBUS"/>
    <x v="0"/>
    <s v="43207"/>
  </r>
  <r>
    <x v="367"/>
    <x v="367"/>
    <x v="420"/>
    <x v="197"/>
    <s v="4509B-01"/>
    <x v="259"/>
    <x v="11"/>
    <x v="69"/>
    <s v="COLUMBUS"/>
    <x v="0"/>
    <s v="43207"/>
  </r>
  <r>
    <x v="368"/>
    <x v="368"/>
    <x v="421"/>
    <x v="197"/>
    <s v="04538-01"/>
    <x v="259"/>
    <x v="11"/>
    <x v="69"/>
    <s v="COLUMBUS"/>
    <x v="0"/>
    <s v="43207"/>
  </r>
  <r>
    <x v="369"/>
    <x v="369"/>
    <x v="422"/>
    <x v="198"/>
    <s v="04420-01"/>
    <x v="260"/>
    <x v="8"/>
    <x v="80"/>
    <s v="FREDERICKTOWN"/>
    <x v="0"/>
    <s v="43019"/>
  </r>
  <r>
    <x v="369"/>
    <x v="369"/>
    <x v="423"/>
    <x v="198"/>
    <s v="4420A-01"/>
    <x v="260"/>
    <x v="8"/>
    <x v="80"/>
    <s v="FREDERICKTOWN"/>
    <x v="0"/>
    <s v="43019"/>
  </r>
  <r>
    <x v="370"/>
    <x v="370"/>
    <x v="424"/>
    <x v="199"/>
    <s v="04410-01"/>
    <x v="261"/>
    <x v="8"/>
    <x v="18"/>
    <s v="ST. LOUISVILLE"/>
    <x v="0"/>
    <s v="43071"/>
  </r>
  <r>
    <x v="370"/>
    <x v="370"/>
    <x v="425"/>
    <x v="199"/>
    <s v="4410B-01"/>
    <x v="261"/>
    <x v="8"/>
    <x v="18"/>
    <s v="ST. LOUISVILLE"/>
    <x v="0"/>
    <s v="43071"/>
  </r>
  <r>
    <x v="370"/>
    <x v="370"/>
    <x v="426"/>
    <x v="199"/>
    <s v="4410C-01"/>
    <x v="261"/>
    <x v="8"/>
    <x v="18"/>
    <s v="ST. LOUISVILLE"/>
    <x v="0"/>
    <s v="43071"/>
  </r>
  <r>
    <x v="371"/>
    <x v="371"/>
    <x v="427"/>
    <x v="104"/>
    <s v="04004-01"/>
    <x v="262"/>
    <x v="10"/>
    <x v="46"/>
    <s v="UPPER SANDUSKY"/>
    <x v="0"/>
    <s v="43351"/>
  </r>
  <r>
    <x v="371"/>
    <x v="371"/>
    <x v="428"/>
    <x v="104"/>
    <s v="4004A-01"/>
    <x v="262"/>
    <x v="10"/>
    <x v="46"/>
    <s v="UPPER SANDUSKY"/>
    <x v="0"/>
    <s v="43351"/>
  </r>
  <r>
    <x v="371"/>
    <x v="371"/>
    <x v="429"/>
    <x v="104"/>
    <s v="4004B-01"/>
    <x v="262"/>
    <x v="10"/>
    <x v="46"/>
    <s v="UPPER SANDUSKY"/>
    <x v="0"/>
    <s v="43351"/>
  </r>
  <r>
    <x v="372"/>
    <x v="372"/>
    <x v="430"/>
    <x v="178"/>
    <s v="04215-01"/>
    <x v="263"/>
    <x v="2"/>
    <x v="72"/>
    <s v="WOOSTER"/>
    <x v="0"/>
    <s v="44691"/>
  </r>
  <r>
    <x v="372"/>
    <x v="372"/>
    <x v="431"/>
    <x v="178"/>
    <s v="4215A-01"/>
    <x v="263"/>
    <x v="2"/>
    <x v="72"/>
    <s v="WOOSTER"/>
    <x v="0"/>
    <s v="44691"/>
  </r>
  <r>
    <x v="373"/>
    <x v="373"/>
    <x v="432"/>
    <x v="39"/>
    <s v="04144-76"/>
    <x v="264"/>
    <x v="4"/>
    <x v="21"/>
    <s v="CINCINNATI"/>
    <x v="0"/>
    <s v="45226"/>
  </r>
  <r>
    <x v="374"/>
    <x v="374"/>
    <x v="433"/>
    <x v="9"/>
    <s v="04144-24"/>
    <x v="10"/>
    <x v="0"/>
    <x v="0"/>
    <s v="CLEVELAND"/>
    <x v="0"/>
    <s v="44113"/>
  </r>
  <r>
    <x v="375"/>
    <x v="375"/>
    <x v="434"/>
    <x v="200"/>
    <s v="04144-54"/>
    <x v="265"/>
    <x v="5"/>
    <x v="19"/>
    <s v="TOLEDO"/>
    <x v="0"/>
    <s v="43605"/>
  </r>
  <r>
    <x v="376"/>
    <x v="376"/>
    <x v="435"/>
    <x v="9"/>
    <s v="04144-04"/>
    <x v="10"/>
    <x v="0"/>
    <x v="0"/>
    <s v="CLEVELAND"/>
    <x v="0"/>
    <s v="44113"/>
  </r>
  <r>
    <x v="377"/>
    <x v="377"/>
    <x v="436"/>
    <x v="201"/>
    <s v="04144-36"/>
    <x v="266"/>
    <x v="7"/>
    <x v="68"/>
    <s v="GALLIPOLIS"/>
    <x v="0"/>
    <s v="45631"/>
  </r>
  <r>
    <x v="378"/>
    <x v="378"/>
    <x v="437"/>
    <x v="42"/>
    <s v="04144-25"/>
    <x v="47"/>
    <x v="0"/>
    <x v="0"/>
    <s v="GRAND RIVER"/>
    <x v="0"/>
    <s v="44045"/>
  </r>
  <r>
    <x v="379"/>
    <x v="379"/>
    <x v="438"/>
    <x v="10"/>
    <s v="04306-53"/>
    <x v="148"/>
    <x v="2"/>
    <x v="6"/>
    <s v="MEDINA"/>
    <x v="0"/>
    <s v="44256"/>
  </r>
  <r>
    <x v="380"/>
    <x v="380"/>
    <x v="439"/>
    <x v="21"/>
    <s v="04306-01"/>
    <x v="267"/>
    <x v="1"/>
    <x v="9"/>
    <s v="MANTUA"/>
    <x v="0"/>
    <s v="44255"/>
  </r>
  <r>
    <x v="381"/>
    <x v="381"/>
    <x v="440"/>
    <x v="202"/>
    <s v="05027-01"/>
    <x v="268"/>
    <x v="9"/>
    <x v="45"/>
    <s v="BOLIVAR"/>
    <x v="0"/>
    <s v="44612"/>
  </r>
  <r>
    <x v="382"/>
    <x v="382"/>
    <x v="441"/>
    <x v="14"/>
    <s v="04325-01"/>
    <x v="269"/>
    <x v="1"/>
    <x v="5"/>
    <s v="MASSILLON"/>
    <x v="0"/>
    <s v="44647"/>
  </r>
  <r>
    <x v="383"/>
    <x v="383"/>
    <x v="442"/>
    <x v="123"/>
    <s v="04325-09"/>
    <x v="146"/>
    <x v="2"/>
    <x v="6"/>
    <s v="LODI"/>
    <x v="0"/>
    <s v="44254"/>
  </r>
  <r>
    <x v="384"/>
    <x v="384"/>
    <x v="443"/>
    <x v="10"/>
    <s v="04325-53"/>
    <x v="148"/>
    <x v="2"/>
    <x v="6"/>
    <s v="MEDINA"/>
    <x v="0"/>
    <s v="44256"/>
  </r>
  <r>
    <x v="385"/>
    <x v="385"/>
    <x v="444"/>
    <x v="203"/>
    <s v="04614-01"/>
    <x v="270"/>
    <x v="6"/>
    <x v="11"/>
    <s v="VANDALIA"/>
    <x v="0"/>
    <s v="45377"/>
  </r>
  <r>
    <x v="386"/>
    <x v="386"/>
    <x v="445"/>
    <x v="146"/>
    <s v="04725-01"/>
    <x v="271"/>
    <x v="4"/>
    <x v="55"/>
    <s v="XENIA"/>
    <x v="0"/>
    <s v="45385"/>
  </r>
  <r>
    <x v="387"/>
    <x v="387"/>
    <x v="446"/>
    <x v="204"/>
    <s v="05064-01"/>
    <x v="272"/>
    <x v="9"/>
    <x v="81"/>
    <s v="MAGNOLIA"/>
    <x v="0"/>
    <s v="44643"/>
  </r>
  <r>
    <x v="388"/>
    <x v="388"/>
    <x v="447"/>
    <x v="190"/>
    <s v="04540-01"/>
    <x v="273"/>
    <x v="11"/>
    <x v="77"/>
    <s v="MARION"/>
    <x v="0"/>
    <s v="43302"/>
  </r>
  <r>
    <x v="389"/>
    <x v="389"/>
    <x v="448"/>
    <x v="205"/>
    <s v="05002-01"/>
    <x v="274"/>
    <x v="9"/>
    <x v="82"/>
    <s v="MINGO JUNCTION"/>
    <x v="0"/>
    <s v="43938"/>
  </r>
  <r>
    <x v="390"/>
    <x v="390"/>
    <x v="449"/>
    <x v="44"/>
    <s v="05002-44"/>
    <x v="49"/>
    <x v="9"/>
    <x v="23"/>
    <s v="BENWOOD"/>
    <x v="3"/>
    <s v="26031"/>
  </r>
  <r>
    <x v="391"/>
    <x v="391"/>
    <x v="450"/>
    <x v="45"/>
    <s v="05002-12"/>
    <x v="50"/>
    <x v="9"/>
    <x v="23"/>
    <s v="WEIRTON"/>
    <x v="3"/>
    <s v="26062"/>
  </r>
  <r>
    <x v="392"/>
    <x v="392"/>
    <x v="451"/>
    <x v="57"/>
    <s v="05064-03"/>
    <x v="63"/>
    <x v="9"/>
    <x v="17"/>
    <s v="NORTH JACKSON"/>
    <x v="0"/>
    <s v="44451"/>
  </r>
  <r>
    <x v="393"/>
    <x v="393"/>
    <x v="452"/>
    <x v="206"/>
    <s v="04615-01"/>
    <x v="275"/>
    <x v="6"/>
    <x v="13"/>
    <s v="PIQUA"/>
    <x v="0"/>
    <s v="45356"/>
  </r>
  <r>
    <x v="394"/>
    <x v="394"/>
    <x v="453"/>
    <x v="207"/>
    <s v="04356-01"/>
    <x v="276"/>
    <x v="1"/>
    <x v="2"/>
    <s v="AKRON"/>
    <x v="0"/>
    <s v="44310"/>
  </r>
  <r>
    <x v="395"/>
    <x v="395"/>
    <x v="454"/>
    <x v="208"/>
    <s v="04109-01"/>
    <x v="277"/>
    <x v="5"/>
    <x v="8"/>
    <s v="FREMONT"/>
    <x v="0"/>
    <s v="43420"/>
  </r>
  <r>
    <x v="396"/>
    <x v="396"/>
    <x v="455"/>
    <x v="209"/>
    <s v="04133-01"/>
    <x v="278"/>
    <x v="5"/>
    <x v="38"/>
    <s v="PORTAGE"/>
    <x v="0"/>
    <s v="43451"/>
  </r>
  <r>
    <x v="397"/>
    <x v="397"/>
    <x v="456"/>
    <x v="210"/>
    <s v="05113-01"/>
    <x v="279"/>
    <x v="0"/>
    <x v="16"/>
    <s v="THOMPSON"/>
    <x v="0"/>
    <s v="44086"/>
  </r>
  <r>
    <x v="398"/>
    <x v="398"/>
    <x v="457"/>
    <x v="9"/>
    <s v="05112-23"/>
    <x v="44"/>
    <x v="0"/>
    <x v="0"/>
    <s v="CLEVELAND"/>
    <x v="0"/>
    <s v="44113"/>
  </r>
  <r>
    <x v="399"/>
    <x v="399"/>
    <x v="458"/>
    <x v="38"/>
    <s v="05112-31"/>
    <x v="42"/>
    <x v="1"/>
    <x v="20"/>
    <s v="ASHTABULA"/>
    <x v="0"/>
    <s v="44004"/>
  </r>
  <r>
    <x v="400"/>
    <x v="400"/>
    <x v="459"/>
    <x v="56"/>
    <s v="04423-01"/>
    <x v="280"/>
    <x v="8"/>
    <x v="18"/>
    <s v="NEWCOMERSTOWN"/>
    <x v="0"/>
    <s v="43832"/>
  </r>
  <r>
    <x v="401"/>
    <x v="401"/>
    <x v="460"/>
    <x v="30"/>
    <s v="4937A-39"/>
    <x v="34"/>
    <x v="7"/>
    <x v="3"/>
    <s v="NEW MARTINSVILLE"/>
    <x v="3"/>
    <s v="26155"/>
  </r>
  <r>
    <x v="402"/>
    <x v="402"/>
    <x v="461"/>
    <x v="31"/>
    <s v="4937A-17"/>
    <x v="35"/>
    <x v="7"/>
    <x v="3"/>
    <s v="RAVENSWOOD"/>
    <x v="3"/>
    <s v="26164"/>
  </r>
  <r>
    <x v="403"/>
    <x v="403"/>
    <x v="462"/>
    <x v="32"/>
    <s v="4937A-14"/>
    <x v="36"/>
    <x v="7"/>
    <x v="3"/>
    <s v="PARKERSBURG"/>
    <x v="3"/>
    <s v="26101"/>
  </r>
  <r>
    <x v="404"/>
    <x v="404"/>
    <x v="463"/>
    <x v="39"/>
    <s v="04937-16"/>
    <x v="43"/>
    <x v="4"/>
    <x v="21"/>
    <s v="CINCINNATI"/>
    <x v="0"/>
    <s v="45226"/>
  </r>
  <r>
    <x v="404"/>
    <x v="404"/>
    <x v="464"/>
    <x v="39"/>
    <s v="4937A-16"/>
    <x v="43"/>
    <x v="4"/>
    <x v="21"/>
    <s v="CINCINNATI"/>
    <x v="0"/>
    <s v="45226"/>
  </r>
  <r>
    <x v="405"/>
    <x v="405"/>
    <x v="465"/>
    <x v="32"/>
    <s v="04937-14"/>
    <x v="36"/>
    <x v="7"/>
    <x v="3"/>
    <s v="PARKERSBURG"/>
    <x v="3"/>
    <s v="26101"/>
  </r>
  <r>
    <x v="406"/>
    <x v="406"/>
    <x v="466"/>
    <x v="44"/>
    <s v="04937-44"/>
    <x v="49"/>
    <x v="9"/>
    <x v="23"/>
    <s v="BENWOOD"/>
    <x v="3"/>
    <s v="26031"/>
  </r>
  <r>
    <x v="407"/>
    <x v="407"/>
    <x v="467"/>
    <x v="45"/>
    <s v="04937-12"/>
    <x v="50"/>
    <x v="9"/>
    <x v="23"/>
    <s v="WEIRTON"/>
    <x v="3"/>
    <s v="26062"/>
  </r>
  <r>
    <x v="408"/>
    <x v="408"/>
    <x v="468"/>
    <x v="46"/>
    <s v="04937-81"/>
    <x v="51"/>
    <x v="7"/>
    <x v="24"/>
    <s v="SARDIS"/>
    <x v="0"/>
    <s v="43946"/>
  </r>
  <r>
    <x v="409"/>
    <x v="409"/>
    <x v="469"/>
    <x v="91"/>
    <s v="04937-50"/>
    <x v="100"/>
    <x v="9"/>
    <x v="3"/>
    <s v="MOUNDSVILLE"/>
    <x v="3"/>
    <s v="26041"/>
  </r>
  <r>
    <x v="410"/>
    <x v="410"/>
    <x v="470"/>
    <x v="49"/>
    <s v="04937-89"/>
    <x v="54"/>
    <x v="7"/>
    <x v="15"/>
    <s v="NEW MATAMORAS"/>
    <x v="0"/>
    <s v="45767"/>
  </r>
  <r>
    <x v="411"/>
    <x v="411"/>
    <x v="471"/>
    <x v="31"/>
    <s v="04937-17"/>
    <x v="35"/>
    <x v="7"/>
    <x v="3"/>
    <s v="RAVENSWOOD"/>
    <x v="3"/>
    <s v="26164"/>
  </r>
  <r>
    <x v="412"/>
    <x v="412"/>
    <x v="472"/>
    <x v="30"/>
    <s v="04937-39"/>
    <x v="34"/>
    <x v="7"/>
    <x v="3"/>
    <s v="NEW MARTINSVILLE"/>
    <x v="3"/>
    <s v="26155"/>
  </r>
  <r>
    <x v="413"/>
    <x v="413"/>
    <x v="473"/>
    <x v="211"/>
    <s v="04214-01"/>
    <x v="281"/>
    <x v="2"/>
    <x v="72"/>
    <s v="MARSHALLVILLE"/>
    <x v="0"/>
    <s v="44645"/>
  </r>
  <r>
    <x v="414"/>
    <x v="414"/>
    <x v="474"/>
    <x v="212"/>
    <s v="04335-01"/>
    <x v="282"/>
    <x v="1"/>
    <x v="20"/>
    <s v="KINGSVILLE"/>
    <x v="0"/>
    <s v="44068"/>
  </r>
  <r>
    <x v="415"/>
    <x v="415"/>
    <x v="475"/>
    <x v="213"/>
    <s v="04436-01"/>
    <x v="283"/>
    <x v="8"/>
    <x v="62"/>
    <s v="CORNING"/>
    <x v="0"/>
    <s v="43730"/>
  </r>
  <r>
    <x v="416"/>
    <x v="416"/>
    <x v="476"/>
    <x v="214"/>
    <s v="04626-01"/>
    <x v="284"/>
    <x v="6"/>
    <x v="28"/>
    <s v="BELLE CENTER"/>
    <x v="0"/>
    <s v="43310"/>
  </r>
  <r>
    <x v="417"/>
    <x v="417"/>
    <x v="477"/>
    <x v="151"/>
    <s v="04804-01"/>
    <x v="285"/>
    <x v="3"/>
    <x v="61"/>
    <s v="CHILLICOTHE"/>
    <x v="0"/>
    <s v="45601"/>
  </r>
  <r>
    <x v="418"/>
    <x v="418"/>
    <x v="478"/>
    <x v="150"/>
    <s v="04804-84"/>
    <x v="180"/>
    <x v="8"/>
    <x v="60"/>
    <s v="LANCASTER"/>
    <x v="0"/>
    <s v="43130"/>
  </r>
  <r>
    <x v="419"/>
    <x v="419"/>
    <x v="479"/>
    <x v="150"/>
    <s v="04503-84"/>
    <x v="286"/>
    <x v="8"/>
    <x v="60"/>
    <s v="LANCASTER"/>
    <x v="0"/>
    <s v="43130"/>
  </r>
  <r>
    <x v="420"/>
    <x v="420"/>
    <x v="480"/>
    <x v="215"/>
    <s v="04503-01"/>
    <x v="287"/>
    <x v="11"/>
    <x v="69"/>
    <s v="GROVE CITY"/>
    <x v="0"/>
    <s v="43123"/>
  </r>
  <r>
    <x v="421"/>
    <x v="421"/>
    <x v="481"/>
    <x v="215"/>
    <s v="04502-01"/>
    <x v="287"/>
    <x v="11"/>
    <x v="69"/>
    <s v="GROVE CITY"/>
    <x v="0"/>
    <s v="43123"/>
  </r>
  <r>
    <x v="421"/>
    <x v="421"/>
    <x v="482"/>
    <x v="215"/>
    <s v="4502B-01"/>
    <x v="287"/>
    <x v="8"/>
    <x v="69"/>
    <s v="GROVE CITY"/>
    <x v="0"/>
    <s v="43123"/>
  </r>
  <r>
    <x v="421"/>
    <x v="421"/>
    <x v="483"/>
    <x v="215"/>
    <s v="4502C-01"/>
    <x v="287"/>
    <x v="11"/>
    <x v="69"/>
    <s v="GROVE CITY"/>
    <x v="0"/>
    <s v="43123"/>
  </r>
  <r>
    <x v="421"/>
    <x v="421"/>
    <x v="484"/>
    <x v="215"/>
    <s v="4502D-01"/>
    <x v="287"/>
    <x v="11"/>
    <x v="69"/>
    <s v="GROVE CITY"/>
    <x v="0"/>
    <s v="43123"/>
  </r>
  <r>
    <x v="422"/>
    <x v="422"/>
    <x v="485"/>
    <x v="176"/>
    <s v="04403-01"/>
    <x v="288"/>
    <x v="8"/>
    <x v="26"/>
    <s v="COSHOCTON"/>
    <x v="0"/>
    <s v="43812"/>
  </r>
  <r>
    <x v="422"/>
    <x v="422"/>
    <x v="486"/>
    <x v="176"/>
    <s v="4403A-01"/>
    <x v="289"/>
    <x v="8"/>
    <x v="26"/>
    <s v="COSHOCTON"/>
    <x v="0"/>
    <s v="43812"/>
  </r>
  <r>
    <x v="422"/>
    <x v="422"/>
    <x v="487"/>
    <x v="176"/>
    <s v="4403B-01"/>
    <x v="289"/>
    <x v="8"/>
    <x v="26"/>
    <s v="COSHOCTON"/>
    <x v="0"/>
    <s v="43812"/>
  </r>
  <r>
    <x v="422"/>
    <x v="422"/>
    <x v="488"/>
    <x v="176"/>
    <s v="4403C-01"/>
    <x v="290"/>
    <x v="8"/>
    <x v="26"/>
    <s v="COSHOCTON"/>
    <x v="0"/>
    <s v="43812"/>
  </r>
  <r>
    <x v="423"/>
    <x v="423"/>
    <x v="489"/>
    <x v="152"/>
    <s v="04403-75"/>
    <x v="183"/>
    <x v="8"/>
    <x v="27"/>
    <s v="DERWENT"/>
    <x v="0"/>
    <s v="43733"/>
  </r>
  <r>
    <x v="424"/>
    <x v="424"/>
    <x v="490"/>
    <x v="216"/>
    <s v="04402-01"/>
    <x v="291"/>
    <x v="8"/>
    <x v="59"/>
    <s v="DRESDEN"/>
    <x v="0"/>
    <s v="43821"/>
  </r>
  <r>
    <x v="425"/>
    <x v="425"/>
    <x v="491"/>
    <x v="217"/>
    <s v="4413B-01"/>
    <x v="292"/>
    <x v="8"/>
    <x v="59"/>
    <s v="EAST FULTONHAM"/>
    <x v="0"/>
    <s v="43735"/>
  </r>
  <r>
    <x v="426"/>
    <x v="426"/>
    <x v="492"/>
    <x v="150"/>
    <s v="04413-84"/>
    <x v="286"/>
    <x v="8"/>
    <x v="60"/>
    <s v="LANCASTER"/>
    <x v="0"/>
    <s v="43130"/>
  </r>
  <r>
    <x v="427"/>
    <x v="427"/>
    <x v="493"/>
    <x v="217"/>
    <s v="04413-01"/>
    <x v="292"/>
    <x v="8"/>
    <x v="59"/>
    <s v="EAST FULTONHAM"/>
    <x v="0"/>
    <s v="43735"/>
  </r>
  <r>
    <x v="427"/>
    <x v="427"/>
    <x v="494"/>
    <x v="217"/>
    <s v="4413A-01"/>
    <x v="292"/>
    <x v="8"/>
    <x v="59"/>
    <s v="EAST FULTONHAM"/>
    <x v="0"/>
    <s v="43735"/>
  </r>
  <r>
    <x v="428"/>
    <x v="428"/>
    <x v="495"/>
    <x v="152"/>
    <s v="04413-75"/>
    <x v="293"/>
    <x v="8"/>
    <x v="27"/>
    <s v="DERWENT"/>
    <x v="0"/>
    <s v="43733"/>
  </r>
  <r>
    <x v="429"/>
    <x v="429"/>
    <x v="496"/>
    <x v="218"/>
    <s v="04020-01"/>
    <x v="294"/>
    <x v="10"/>
    <x v="83"/>
    <s v="FOREST"/>
    <x v="0"/>
    <s v="45843"/>
  </r>
  <r>
    <x v="430"/>
    <x v="430"/>
    <x v="497"/>
    <x v="172"/>
    <s v="04523-01"/>
    <x v="295"/>
    <x v="11"/>
    <x v="69"/>
    <s v="LOCKBOURNE"/>
    <x v="0"/>
    <s v="43137"/>
  </r>
  <r>
    <x v="431"/>
    <x v="431"/>
    <x v="498"/>
    <x v="219"/>
    <s v="04504-01"/>
    <x v="296"/>
    <x v="11"/>
    <x v="69"/>
    <s v="HILLIARD"/>
    <x v="0"/>
    <s v="43026"/>
  </r>
  <r>
    <x v="432"/>
    <x v="432"/>
    <x v="499"/>
    <x v="220"/>
    <s v="04519-01"/>
    <x v="297"/>
    <x v="11"/>
    <x v="84"/>
    <s v="OSTRANDER"/>
    <x v="0"/>
    <s v="43061"/>
  </r>
  <r>
    <x v="433"/>
    <x v="433"/>
    <x v="500"/>
    <x v="221"/>
    <s v="04958-01"/>
    <x v="298"/>
    <x v="7"/>
    <x v="54"/>
    <s v="PORTLAND"/>
    <x v="0"/>
    <s v="45770"/>
  </r>
  <r>
    <x v="434"/>
    <x v="434"/>
    <x v="501"/>
    <x v="201"/>
    <s v="04958-36"/>
    <x v="266"/>
    <x v="7"/>
    <x v="68"/>
    <s v="GALLIPOLIS"/>
    <x v="0"/>
    <s v="45631"/>
  </r>
  <r>
    <x v="435"/>
    <x v="435"/>
    <x v="502"/>
    <x v="222"/>
    <s v="04945-01"/>
    <x v="299"/>
    <x v="7"/>
    <x v="54"/>
    <s v="REEDSVILLE"/>
    <x v="0"/>
    <s v="45772"/>
  </r>
  <r>
    <x v="436"/>
    <x v="436"/>
    <x v="503"/>
    <x v="223"/>
    <s v="04945-95"/>
    <x v="300"/>
    <x v="9"/>
    <x v="3"/>
    <s v="CORAOPOLIS"/>
    <x v="1"/>
    <s v="15108"/>
  </r>
  <r>
    <x v="437"/>
    <x v="437"/>
    <x v="504"/>
    <x v="29"/>
    <s v="04948-01"/>
    <x v="301"/>
    <x v="7"/>
    <x v="15"/>
    <s v="MARIETTA"/>
    <x v="0"/>
    <s v="45750"/>
  </r>
  <r>
    <x v="437"/>
    <x v="437"/>
    <x v="505"/>
    <x v="224"/>
    <s v="4948A-01"/>
    <x v="301"/>
    <x v="7"/>
    <x v="15"/>
    <s v="MARIETTA"/>
    <x v="0"/>
    <s v="45770"/>
  </r>
  <r>
    <x v="438"/>
    <x v="438"/>
    <x v="506"/>
    <x v="225"/>
    <s v="04948-45"/>
    <x v="33"/>
    <x v="7"/>
    <x v="15"/>
    <s v="MARIETTA"/>
    <x v="0"/>
    <s v=""/>
  </r>
  <r>
    <x v="439"/>
    <x v="439"/>
    <x v="507"/>
    <x v="10"/>
    <s v="04390-55"/>
    <x v="11"/>
    <x v="2"/>
    <x v="6"/>
    <s v="MEDINA"/>
    <x v="0"/>
    <s v="44256"/>
  </r>
  <r>
    <x v="440"/>
    <x v="440"/>
    <x v="508"/>
    <x v="9"/>
    <s v="04390-04"/>
    <x v="10"/>
    <x v="0"/>
    <x v="0"/>
    <s v="CLEVELAND"/>
    <x v="0"/>
    <s v="44113"/>
  </r>
  <r>
    <x v="441"/>
    <x v="441"/>
    <x v="509"/>
    <x v="12"/>
    <s v="04390-69"/>
    <x v="13"/>
    <x v="0"/>
    <x v="0"/>
    <s v="CLEVELAND"/>
    <x v="0"/>
    <s v="44135"/>
  </r>
  <r>
    <x v="442"/>
    <x v="442"/>
    <x v="510"/>
    <x v="226"/>
    <s v="04652-01"/>
    <x v="302"/>
    <x v="6"/>
    <x v="63"/>
    <s v="SPRINGFIELD"/>
    <x v="0"/>
    <s v="45502"/>
  </r>
  <r>
    <x v="443"/>
    <x v="443"/>
    <x v="511"/>
    <x v="227"/>
    <s v="04407-01"/>
    <x v="303"/>
    <x v="8"/>
    <x v="18"/>
    <s v="ST. LOUISVILLE"/>
    <x v="0"/>
    <s v="43055"/>
  </r>
  <r>
    <x v="444"/>
    <x v="444"/>
    <x v="512"/>
    <x v="228"/>
    <s v="04316-01"/>
    <x v="304"/>
    <x v="1"/>
    <x v="9"/>
    <s v="STREETSBORO"/>
    <x v="0"/>
    <s v="44241"/>
  </r>
  <r>
    <x v="445"/>
    <x v="445"/>
    <x v="513"/>
    <x v="152"/>
    <s v="04948-75"/>
    <x v="293"/>
    <x v="8"/>
    <x v="27"/>
    <s v="DERWENT"/>
    <x v="0"/>
    <s v="43733"/>
  </r>
  <r>
    <x v="446"/>
    <x v="446"/>
    <x v="514"/>
    <x v="229"/>
    <s v="04513-01"/>
    <x v="305"/>
    <x v="11"/>
    <x v="84"/>
    <s v="WEST MANSFIELD"/>
    <x v="0"/>
    <s v="43358"/>
  </r>
  <r>
    <x v="447"/>
    <x v="447"/>
    <x v="515"/>
    <x v="230"/>
    <s v="05074-01"/>
    <x v="306"/>
    <x v="9"/>
    <x v="25"/>
    <s v="ST. CLAIRSVILLE"/>
    <x v="0"/>
    <s v="43950"/>
  </r>
  <r>
    <x v="448"/>
    <x v="448"/>
    <x v="516"/>
    <x v="181"/>
    <s v="05029-01"/>
    <x v="307"/>
    <x v="9"/>
    <x v="45"/>
    <s v="NEW PHILADELPHIA"/>
    <x v="0"/>
    <s v="44663"/>
  </r>
  <r>
    <x v="449"/>
    <x v="449"/>
    <x v="517"/>
    <x v="180"/>
    <s v="05066-01"/>
    <x v="308"/>
    <x v="9"/>
    <x v="53"/>
    <s v="CADIZ"/>
    <x v="0"/>
    <s v="43907"/>
  </r>
  <r>
    <x v="450"/>
    <x v="450"/>
    <x v="518"/>
    <x v="230"/>
    <s v="05062-01"/>
    <x v="309"/>
    <x v="9"/>
    <x v="25"/>
    <s v="ST. CLAIRSVILLE"/>
    <x v="0"/>
    <s v="43950"/>
  </r>
  <r>
    <x v="451"/>
    <x v="451"/>
    <x v="519"/>
    <x v="171"/>
    <s v="05029-80"/>
    <x v="218"/>
    <x v="9"/>
    <x v="25"/>
    <s v="BELLAIRE"/>
    <x v="0"/>
    <s v="43906"/>
  </r>
  <r>
    <x v="451"/>
    <x v="451"/>
    <x v="519"/>
    <x v="171"/>
    <s v="05029-80"/>
    <x v="218"/>
    <x v="9"/>
    <x v="25"/>
    <s v="BELLAIRE"/>
    <x v="0"/>
    <s v="43906"/>
  </r>
  <r>
    <x v="452"/>
    <x v="452"/>
    <x v="520"/>
    <x v="231"/>
    <s v="04380-01"/>
    <x v="310"/>
    <x v="1"/>
    <x v="20"/>
    <s v="NORTH KINGSVILLE"/>
    <x v="0"/>
    <s v="44068"/>
  </r>
  <r>
    <x v="453"/>
    <x v="453"/>
    <x v="521"/>
    <x v="232"/>
    <s v="04337-01"/>
    <x v="311"/>
    <x v="1"/>
    <x v="4"/>
    <s v="VOLANT"/>
    <x v="1"/>
    <s v="16156"/>
  </r>
  <r>
    <x v="454"/>
    <x v="454"/>
    <x v="522"/>
    <x v="233"/>
    <s v="04419-01"/>
    <x v="312"/>
    <x v="8"/>
    <x v="80"/>
    <s v="GAMBIER"/>
    <x v="0"/>
    <s v="43022"/>
  </r>
  <r>
    <x v="454"/>
    <x v="454"/>
    <x v="523"/>
    <x v="233"/>
    <s v="4419A-01"/>
    <x v="312"/>
    <x v="8"/>
    <x v="80"/>
    <s v="GAMBIER"/>
    <x v="0"/>
    <s v="43022"/>
  </r>
  <r>
    <x v="454"/>
    <x v="454"/>
    <x v="524"/>
    <x v="233"/>
    <s v="4419B-01"/>
    <x v="312"/>
    <x v="8"/>
    <x v="80"/>
    <s v="GAMBIER"/>
    <x v="0"/>
    <s v="43022"/>
  </r>
  <r>
    <x v="455"/>
    <x v="455"/>
    <x v="525"/>
    <x v="42"/>
    <s v="04126-25"/>
    <x v="47"/>
    <x v="0"/>
    <x v="1"/>
    <s v="GRAND RIVER"/>
    <x v="0"/>
    <s v="44045"/>
  </r>
  <r>
    <x v="456"/>
    <x v="456"/>
    <x v="526"/>
    <x v="107"/>
    <s v="04126-29"/>
    <x v="122"/>
    <x v="2"/>
    <x v="47"/>
    <s v="LORAIN"/>
    <x v="0"/>
    <s v="44052"/>
  </r>
  <r>
    <x v="457"/>
    <x v="457"/>
    <x v="527"/>
    <x v="50"/>
    <s v="04126-28"/>
    <x v="55"/>
    <x v="0"/>
    <x v="0"/>
    <s v="CLEVELAND"/>
    <x v="0"/>
    <s v="44115"/>
  </r>
  <r>
    <x v="458"/>
    <x v="458"/>
    <x v="528"/>
    <x v="9"/>
    <s v="04126-04"/>
    <x v="10"/>
    <x v="0"/>
    <x v="0"/>
    <s v="CLEVELAND"/>
    <x v="0"/>
    <s v="44113"/>
  </r>
  <r>
    <x v="459"/>
    <x v="459"/>
    <x v="529"/>
    <x v="234"/>
    <s v="04377-01"/>
    <x v="313"/>
    <x v="1"/>
    <x v="9"/>
    <s v="ROOTSTOWN"/>
    <x v="0"/>
    <s v="44272"/>
  </r>
  <r>
    <x v="460"/>
    <x v="460"/>
    <x v="530"/>
    <x v="235"/>
    <s v="05069-01"/>
    <x v="314"/>
    <x v="9"/>
    <x v="45"/>
    <s v="BEACH CITY"/>
    <x v="0"/>
    <s v="44608"/>
  </r>
  <r>
    <x v="461"/>
    <x v="461"/>
    <x v="531"/>
    <x v="236"/>
    <s v="04371-01"/>
    <x v="315"/>
    <x v="1"/>
    <x v="85"/>
    <s v="SALEM"/>
    <x v="0"/>
    <s v="44460"/>
  </r>
  <r>
    <x v="462"/>
    <x v="462"/>
    <x v="532"/>
    <x v="125"/>
    <s v="04805-01"/>
    <x v="316"/>
    <x v="3"/>
    <x v="49"/>
    <s v="PIKETON"/>
    <x v="0"/>
    <s v="45661"/>
  </r>
  <r>
    <x v="463"/>
    <x v="463"/>
    <x v="533"/>
    <x v="117"/>
    <s v="04766-01"/>
    <x v="200"/>
    <x v="4"/>
    <x v="21"/>
    <s v="CLEVES"/>
    <x v="0"/>
    <s v="45002"/>
  </r>
  <r>
    <x v="464"/>
    <x v="464"/>
    <x v="534"/>
    <x v="237"/>
    <s v="04135-01"/>
    <x v="317"/>
    <x v="5"/>
    <x v="44"/>
    <s v="BUTLER"/>
    <x v="2"/>
    <s v="46721"/>
  </r>
  <r>
    <x v="465"/>
    <x v="465"/>
    <x v="535"/>
    <x v="238"/>
    <s v="4118R-01"/>
    <x v="318"/>
    <x v="5"/>
    <x v="36"/>
    <s v="GENOA"/>
    <x v="0"/>
    <s v="43560"/>
  </r>
  <r>
    <x v="466"/>
    <x v="466"/>
    <x v="536"/>
    <x v="9"/>
    <s v="05147-01"/>
    <x v="319"/>
    <x v="0"/>
    <x v="0"/>
    <s v="CLEVELAND"/>
    <x v="0"/>
    <s v="44113"/>
  </r>
  <r>
    <x v="467"/>
    <x v="467"/>
    <x v="537"/>
    <x v="239"/>
    <s v="09552-01"/>
    <x v="320"/>
    <x v="9"/>
    <x v="45"/>
    <s v="GNADENHUTTEN"/>
    <x v="0"/>
    <s v="44629"/>
  </r>
  <r>
    <x v="467"/>
    <x v="467"/>
    <x v="538"/>
    <x v="239"/>
    <s v="9552A-01"/>
    <x v="320"/>
    <x v="9"/>
    <x v="45"/>
    <s v="GNADENHUTTEN"/>
    <x v="0"/>
    <s v="44629"/>
  </r>
  <r>
    <x v="468"/>
    <x v="468"/>
    <x v="539"/>
    <x v="91"/>
    <s v="09552-50"/>
    <x v="100"/>
    <x v="9"/>
    <x v="3"/>
    <s v="MOUNDSVILLE"/>
    <x v="3"/>
    <s v="26041"/>
  </r>
  <r>
    <x v="469"/>
    <x v="469"/>
    <x v="540"/>
    <x v="239"/>
    <s v="05038-01"/>
    <x v="321"/>
    <x v="9"/>
    <x v="45"/>
    <s v="GNADENHUTTEN"/>
    <x v="0"/>
    <s v="44629"/>
  </r>
  <r>
    <x v="469"/>
    <x v="469"/>
    <x v="541"/>
    <x v="239"/>
    <s v="5038A-01"/>
    <x v="321"/>
    <x v="9"/>
    <x v="45"/>
    <s v="GNADENHUTTEN"/>
    <x v="0"/>
    <s v="44629"/>
  </r>
  <r>
    <x v="470"/>
    <x v="470"/>
    <x v="542"/>
    <x v="44"/>
    <s v="05038-44"/>
    <x v="49"/>
    <x v="7"/>
    <x v="14"/>
    <s v="BENWOOD"/>
    <x v="3"/>
    <s v="26031"/>
  </r>
  <r>
    <x v="471"/>
    <x v="471"/>
    <x v="543"/>
    <x v="87"/>
    <s v="05038-56"/>
    <x v="96"/>
    <x v="9"/>
    <x v="25"/>
    <s v="BETHESDA"/>
    <x v="0"/>
    <s v="43719"/>
  </r>
  <r>
    <x v="472"/>
    <x v="472"/>
    <x v="544"/>
    <x v="45"/>
    <s v="05038-12"/>
    <x v="50"/>
    <x v="9"/>
    <x v="3"/>
    <s v="WEIRTON"/>
    <x v="3"/>
    <s v="26062"/>
  </r>
  <r>
    <x v="473"/>
    <x v="473"/>
    <x v="545"/>
    <x v="240"/>
    <s v="05038-92"/>
    <x v="322"/>
    <x v="8"/>
    <x v="27"/>
    <s v="BYESVILLE"/>
    <x v="0"/>
    <s v="43723"/>
  </r>
  <r>
    <x v="474"/>
    <x v="474"/>
    <x v="546"/>
    <x v="241"/>
    <s v="04036-01"/>
    <x v="323"/>
    <x v="10"/>
    <x v="3"/>
    <s v="HOAGLAND"/>
    <x v="2"/>
    <s v="46745"/>
  </r>
  <r>
    <x v="475"/>
    <x v="475"/>
    <x v="547"/>
    <x v="242"/>
    <s v="04035-01"/>
    <x v="324"/>
    <x v="10"/>
    <x v="3"/>
    <s v="GARRETT"/>
    <x v="2"/>
    <s v="46738"/>
  </r>
  <r>
    <x v="476"/>
    <x v="476"/>
    <x v="548"/>
    <x v="64"/>
    <s v="04372-01"/>
    <x v="325"/>
    <x v="1"/>
    <x v="17"/>
    <s v="PETERSBURG"/>
    <x v="0"/>
    <s v="44454"/>
  </r>
  <r>
    <x v="477"/>
    <x v="477"/>
    <x v="549"/>
    <x v="243"/>
    <s v="04169-01"/>
    <x v="326"/>
    <x v="5"/>
    <x v="3"/>
    <s v="ANN ARBOR"/>
    <x v="5"/>
    <s v="48103"/>
  </r>
  <r>
    <x v="478"/>
    <x v="478"/>
    <x v="550"/>
    <x v="244"/>
    <s v="04131-01"/>
    <x v="327"/>
    <x v="5"/>
    <x v="3"/>
    <s v="HORTON"/>
    <x v="5"/>
    <s v="49246"/>
  </r>
  <r>
    <x v="479"/>
    <x v="479"/>
    <x v="551"/>
    <x v="245"/>
    <s v="04131-58"/>
    <x v="328"/>
    <x v="5"/>
    <x v="3"/>
    <s v="OTTAWA LAKE"/>
    <x v="5"/>
    <s v="49267"/>
  </r>
  <r>
    <x v="480"/>
    <x v="480"/>
    <x v="552"/>
    <x v="245"/>
    <s v="04132-01"/>
    <x v="328"/>
    <x v="5"/>
    <x v="3"/>
    <s v="OTTAWA LAKE"/>
    <x v="5"/>
    <s v="49267"/>
  </r>
  <r>
    <x v="481"/>
    <x v="481"/>
    <x v="553"/>
    <x v="246"/>
    <s v="04160-01"/>
    <x v="329"/>
    <x v="5"/>
    <x v="3"/>
    <s v="ANN ARBOR"/>
    <x v="5"/>
    <s v="48130"/>
  </r>
  <r>
    <x v="482"/>
    <x v="482"/>
    <x v="554"/>
    <x v="245"/>
    <s v="04160-58"/>
    <x v="328"/>
    <x v="5"/>
    <x v="3"/>
    <s v="OTTAWA LAKE"/>
    <x v="5"/>
    <s v="49267"/>
  </r>
  <r>
    <x v="483"/>
    <x v="483"/>
    <x v="555"/>
    <x v="247"/>
    <s v="04012-01"/>
    <x v="330"/>
    <x v="10"/>
    <x v="48"/>
    <s v="OAKWOOD"/>
    <x v="0"/>
    <s v="45873"/>
  </r>
  <r>
    <x v="484"/>
    <x v="484"/>
    <x v="556"/>
    <x v="248"/>
    <s v="04622-01"/>
    <x v="331"/>
    <x v="6"/>
    <x v="86"/>
    <s v="CELINA"/>
    <x v="0"/>
    <s v="45822"/>
  </r>
  <r>
    <x v="484"/>
    <x v="484"/>
    <x v="557"/>
    <x v="248"/>
    <s v="4622A-01"/>
    <x v="332"/>
    <x v="6"/>
    <x v="86"/>
    <s v="CELINA"/>
    <x v="0"/>
    <s v="45822"/>
  </r>
  <r>
    <x v="484"/>
    <x v="484"/>
    <x v="558"/>
    <x v="248"/>
    <s v="4622B-01"/>
    <x v="332"/>
    <x v="6"/>
    <x v="86"/>
    <s v="CELINA"/>
    <x v="0"/>
    <s v="45822"/>
  </r>
  <r>
    <x v="485"/>
    <x v="485"/>
    <x v="559"/>
    <x v="249"/>
    <s v="04116-01"/>
    <x v="333"/>
    <x v="5"/>
    <x v="36"/>
    <s v="CLAY CENTER"/>
    <x v="0"/>
    <s v="43408"/>
  </r>
  <r>
    <x v="486"/>
    <x v="486"/>
    <x v="560"/>
    <x v="12"/>
    <s v="04116-69"/>
    <x v="13"/>
    <x v="0"/>
    <x v="0"/>
    <s v="CLEVELAND"/>
    <x v="0"/>
    <s v="44135"/>
  </r>
  <r>
    <x v="487"/>
    <x v="487"/>
    <x v="561"/>
    <x v="11"/>
    <s v="04116-13"/>
    <x v="334"/>
    <x v="1"/>
    <x v="5"/>
    <s v="ALLIANCE"/>
    <x v="0"/>
    <s v="44601"/>
  </r>
  <r>
    <x v="488"/>
    <x v="488"/>
    <x v="562"/>
    <x v="8"/>
    <s v="04116-42"/>
    <x v="9"/>
    <x v="1"/>
    <x v="2"/>
    <s v="COPLEY"/>
    <x v="0"/>
    <s v="44321"/>
  </r>
  <r>
    <x v="489"/>
    <x v="489"/>
    <x v="563"/>
    <x v="58"/>
    <s v="04116-32"/>
    <x v="150"/>
    <x v="1"/>
    <x v="9"/>
    <s v="KENT"/>
    <x v="0"/>
    <s v="44240"/>
  </r>
  <r>
    <x v="490"/>
    <x v="490"/>
    <x v="564"/>
    <x v="69"/>
    <s v="04116-10"/>
    <x v="77"/>
    <x v="1"/>
    <x v="2"/>
    <s v="TWINSBURG"/>
    <x v="0"/>
    <s v="44087"/>
  </r>
  <r>
    <x v="491"/>
    <x v="491"/>
    <x v="565"/>
    <x v="250"/>
    <s v="04123-01"/>
    <x v="335"/>
    <x v="5"/>
    <x v="19"/>
    <s v="MAUMEE"/>
    <x v="0"/>
    <s v="43537"/>
  </r>
  <r>
    <x v="491"/>
    <x v="491"/>
    <x v="566"/>
    <x v="250"/>
    <s v="4123B-01"/>
    <x v="335"/>
    <x v="5"/>
    <x v="19"/>
    <s v="MAUMEE"/>
    <x v="0"/>
    <s v="43537"/>
  </r>
  <r>
    <x v="492"/>
    <x v="492"/>
    <x v="567"/>
    <x v="209"/>
    <s v="04103-01"/>
    <x v="336"/>
    <x v="5"/>
    <x v="38"/>
    <s v="PORTAGE"/>
    <x v="0"/>
    <s v="43451"/>
  </r>
  <r>
    <x v="493"/>
    <x v="493"/>
    <x v="568"/>
    <x v="251"/>
    <s v="04013-01"/>
    <x v="337"/>
    <x v="10"/>
    <x v="75"/>
    <s v="CONVOY"/>
    <x v="0"/>
    <s v="45832"/>
  </r>
  <r>
    <x v="494"/>
    <x v="494"/>
    <x v="569"/>
    <x v="10"/>
    <s v="04017-55"/>
    <x v="11"/>
    <x v="2"/>
    <x v="6"/>
    <s v="MEDINA"/>
    <x v="0"/>
    <s v="44256"/>
  </r>
  <r>
    <x v="495"/>
    <x v="495"/>
    <x v="570"/>
    <x v="45"/>
    <s v="04394-12"/>
    <x v="50"/>
    <x v="9"/>
    <x v="23"/>
    <s v="WEIRTON"/>
    <x v="3"/>
    <s v="26062"/>
  </r>
  <r>
    <x v="496"/>
    <x v="496"/>
    <x v="571"/>
    <x v="64"/>
    <s v="04394-01"/>
    <x v="338"/>
    <x v="1"/>
    <x v="17"/>
    <s v="PETERSBURG"/>
    <x v="0"/>
    <s v="44454"/>
  </r>
  <r>
    <x v="496"/>
    <x v="496"/>
    <x v="572"/>
    <x v="64"/>
    <s v="4394A-01"/>
    <x v="338"/>
    <x v="1"/>
    <x v="17"/>
    <s v="PETERSBURG"/>
    <x v="0"/>
    <s v="44454"/>
  </r>
  <r>
    <x v="497"/>
    <x v="497"/>
    <x v="573"/>
    <x v="57"/>
    <s v="04394-03"/>
    <x v="128"/>
    <x v="1"/>
    <x v="17"/>
    <s v="NORTH JACKSON"/>
    <x v="0"/>
    <s v="44451"/>
  </r>
  <r>
    <x v="498"/>
    <x v="498"/>
    <x v="574"/>
    <x v="252"/>
    <s v="04399-01"/>
    <x v="339"/>
    <x v="1"/>
    <x v="9"/>
    <s v="MOGADORE"/>
    <x v="0"/>
    <s v="44620"/>
  </r>
  <r>
    <x v="499"/>
    <x v="499"/>
    <x v="575"/>
    <x v="6"/>
    <s v="04375-01"/>
    <x v="340"/>
    <x v="1"/>
    <x v="3"/>
    <s v="SLIPPERY ROCK"/>
    <x v="1"/>
    <s v="16057"/>
  </r>
  <r>
    <x v="500"/>
    <x v="500"/>
    <x v="576"/>
    <x v="6"/>
    <s v="04395-01"/>
    <x v="341"/>
    <x v="1"/>
    <x v="4"/>
    <s v="SLIPPERY ROCK"/>
    <x v="1"/>
    <s v="16057"/>
  </r>
  <r>
    <x v="501"/>
    <x v="501"/>
    <x v="577"/>
    <x v="253"/>
    <s v="04388-01"/>
    <x v="342"/>
    <x v="1"/>
    <x v="3"/>
    <s v="WAMPUM"/>
    <x v="1"/>
    <s v="16137"/>
  </r>
  <r>
    <x v="502"/>
    <x v="502"/>
    <x v="578"/>
    <x v="14"/>
    <s v="04344-01"/>
    <x v="343"/>
    <x v="1"/>
    <x v="5"/>
    <s v="MASSILLON"/>
    <x v="0"/>
    <s v="44647"/>
  </r>
  <r>
    <x v="502"/>
    <x v="502"/>
    <x v="579"/>
    <x v="14"/>
    <s v="4344B-01"/>
    <x v="344"/>
    <x v="1"/>
    <x v="5"/>
    <s v="MASSILLON"/>
    <x v="0"/>
    <s v="44647"/>
  </r>
  <r>
    <x v="503"/>
    <x v="503"/>
    <x v="580"/>
    <x v="57"/>
    <s v="04344-03"/>
    <x v="128"/>
    <x v="1"/>
    <x v="17"/>
    <s v="NORTH JACKSON"/>
    <x v="0"/>
    <s v="44451"/>
  </r>
  <r>
    <x v="504"/>
    <x v="504"/>
    <x v="581"/>
    <x v="254"/>
    <s v="04850-01"/>
    <x v="345"/>
    <x v="3"/>
    <x v="61"/>
    <s v="LUCASVILLE"/>
    <x v="0"/>
    <s v="45648"/>
  </r>
  <r>
    <x v="505"/>
    <x v="505"/>
    <x v="582"/>
    <x v="255"/>
    <s v="04841-01"/>
    <x v="346"/>
    <x v="3"/>
    <x v="61"/>
    <s v="FRANKFORT"/>
    <x v="0"/>
    <s v="45628"/>
  </r>
  <r>
    <x v="506"/>
    <x v="506"/>
    <x v="583"/>
    <x v="254"/>
    <s v="04838-01"/>
    <x v="347"/>
    <x v="3"/>
    <x v="87"/>
    <s v="LUCASVILLE"/>
    <x v="0"/>
    <s v="45648"/>
  </r>
  <r>
    <x v="507"/>
    <x v="507"/>
    <x v="584"/>
    <x v="256"/>
    <s v="04516-01"/>
    <x v="348"/>
    <x v="11"/>
    <x v="67"/>
    <s v="PLAIN CITY"/>
    <x v="0"/>
    <s v="43064"/>
  </r>
  <r>
    <x v="507"/>
    <x v="507"/>
    <x v="585"/>
    <x v="256"/>
    <s v="4516A-01"/>
    <x v="348"/>
    <x v="11"/>
    <x v="67"/>
    <s v="PLAIN CITY"/>
    <x v="0"/>
    <s v="43064"/>
  </r>
  <r>
    <x v="508"/>
    <x v="508"/>
    <x v="586"/>
    <x v="257"/>
    <s v="04005-01"/>
    <x v="349"/>
    <x v="10"/>
    <x v="44"/>
    <s v="DECATUR"/>
    <x v="2"/>
    <s v="46733"/>
  </r>
  <r>
    <x v="509"/>
    <x v="509"/>
    <x v="587"/>
    <x v="258"/>
    <s v="04032-01"/>
    <x v="350"/>
    <x v="10"/>
    <x v="3"/>
    <s v="PORTLAND"/>
    <x v="2"/>
    <s v="47371"/>
  </r>
  <r>
    <x v="510"/>
    <x v="510"/>
    <x v="588"/>
    <x v="27"/>
    <s v="04709-01"/>
    <x v="351"/>
    <x v="4"/>
    <x v="3"/>
    <s v="RICHMOND"/>
    <x v="2"/>
    <s v="47374"/>
  </r>
  <r>
    <x v="511"/>
    <x v="511"/>
    <x v="589"/>
    <x v="259"/>
    <s v="04033-01"/>
    <x v="352"/>
    <x v="10"/>
    <x v="3"/>
    <s v="RIDGEVILLE"/>
    <x v="2"/>
    <s v="47380"/>
  </r>
  <r>
    <x v="512"/>
    <x v="512"/>
    <x v="590"/>
    <x v="260"/>
    <s v="04405-01"/>
    <x v="353"/>
    <x v="8"/>
    <x v="80"/>
    <s v="DANVILLE"/>
    <x v="0"/>
    <s v="43104"/>
  </r>
  <r>
    <x v="513"/>
    <x v="513"/>
    <x v="591"/>
    <x v="261"/>
    <s v="04409-01"/>
    <x v="354"/>
    <x v="8"/>
    <x v="80"/>
    <s v="MT. VERNON"/>
    <x v="0"/>
    <s v="43050"/>
  </r>
  <r>
    <x v="514"/>
    <x v="514"/>
    <x v="592"/>
    <x v="262"/>
    <s v="04628-01"/>
    <x v="355"/>
    <x v="6"/>
    <x v="63"/>
    <s v="URBANA"/>
    <x v="0"/>
    <s v="43078"/>
  </r>
  <r>
    <x v="515"/>
    <x v="515"/>
    <x v="593"/>
    <x v="263"/>
    <s v="04793-01"/>
    <x v="356"/>
    <x v="4"/>
    <x v="21"/>
    <s v="CINCINNATI"/>
    <x v="0"/>
    <s v="45241"/>
  </r>
  <r>
    <x v="516"/>
    <x v="516"/>
    <x v="594"/>
    <x v="73"/>
    <s v="4602A-01"/>
    <x v="357"/>
    <x v="6"/>
    <x v="34"/>
    <s v="GREENVILLE"/>
    <x v="0"/>
    <s v="45331"/>
  </r>
  <r>
    <x v="517"/>
    <x v="517"/>
    <x v="595"/>
    <x v="117"/>
    <s v="04787-01"/>
    <x v="358"/>
    <x v="4"/>
    <x v="21"/>
    <s v="CLEVES"/>
    <x v="0"/>
    <s v="45002"/>
  </r>
  <r>
    <x v="518"/>
    <x v="518"/>
    <x v="596"/>
    <x v="161"/>
    <s v="04779-01"/>
    <x v="359"/>
    <x v="4"/>
    <x v="21"/>
    <s v="HARRISON"/>
    <x v="0"/>
    <s v="45030"/>
  </r>
  <r>
    <x v="519"/>
    <x v="519"/>
    <x v="597"/>
    <x v="162"/>
    <s v="04744-01"/>
    <x v="360"/>
    <x v="4"/>
    <x v="56"/>
    <s v="MIDDLETOWN"/>
    <x v="0"/>
    <s v="45044"/>
  </r>
  <r>
    <x v="520"/>
    <x v="520"/>
    <x v="598"/>
    <x v="264"/>
    <s v="04729-01"/>
    <x v="361"/>
    <x v="4"/>
    <x v="56"/>
    <s v="HAMILTON"/>
    <x v="0"/>
    <s v="45013"/>
  </r>
  <r>
    <x v="521"/>
    <x v="521"/>
    <x v="599"/>
    <x v="265"/>
    <s v="04632-01"/>
    <x v="362"/>
    <x v="6"/>
    <x v="70"/>
    <s v="ST. MARYS"/>
    <x v="0"/>
    <s v="45885"/>
  </r>
  <r>
    <x v="522"/>
    <x v="522"/>
    <x v="600"/>
    <x v="266"/>
    <s v="04117-01"/>
    <x v="363"/>
    <x v="5"/>
    <x v="39"/>
    <s v="EDGERTON"/>
    <x v="0"/>
    <s v="43517"/>
  </r>
  <r>
    <x v="523"/>
    <x v="523"/>
    <x v="601"/>
    <x v="63"/>
    <s v="04650-01"/>
    <x v="364"/>
    <x v="6"/>
    <x v="11"/>
    <s v="GERMANTOWN"/>
    <x v="0"/>
    <s v="45327"/>
  </r>
  <r>
    <x v="524"/>
    <x v="524"/>
    <x v="602"/>
    <x v="161"/>
    <s v="04733-01"/>
    <x v="365"/>
    <x v="4"/>
    <x v="56"/>
    <s v="HARRISON"/>
    <x v="0"/>
    <s v="45030"/>
  </r>
  <r>
    <x v="525"/>
    <x v="525"/>
    <x v="603"/>
    <x v="159"/>
    <s v="04535-01"/>
    <x v="366"/>
    <x v="11"/>
    <x v="64"/>
    <s v="CIRCLEVILLE"/>
    <x v="0"/>
    <s v="43113"/>
  </r>
  <r>
    <x v="526"/>
    <x v="526"/>
    <x v="604"/>
    <x v="176"/>
    <s v="04432-01"/>
    <x v="367"/>
    <x v="8"/>
    <x v="26"/>
    <s v="COSHOCTON"/>
    <x v="0"/>
    <s v="43812"/>
  </r>
  <r>
    <x v="527"/>
    <x v="527"/>
    <x v="605"/>
    <x v="179"/>
    <s v="04017-01"/>
    <x v="368"/>
    <x v="10"/>
    <x v="46"/>
    <s v="CAREY"/>
    <x v="0"/>
    <s v="43316"/>
  </r>
  <r>
    <x v="528"/>
    <x v="528"/>
    <x v="606"/>
    <x v="11"/>
    <s v="04017-13"/>
    <x v="76"/>
    <x v="1"/>
    <x v="5"/>
    <s v="ALLIANCE"/>
    <x v="0"/>
    <s v="44601"/>
  </r>
  <r>
    <x v="529"/>
    <x v="529"/>
    <x v="607"/>
    <x v="152"/>
    <s v="04017-75"/>
    <x v="183"/>
    <x v="8"/>
    <x v="27"/>
    <s v="DERWENT"/>
    <x v="0"/>
    <s v="43733"/>
  </r>
  <r>
    <x v="530"/>
    <x v="530"/>
    <x v="608"/>
    <x v="12"/>
    <s v="04017-69"/>
    <x v="13"/>
    <x v="0"/>
    <x v="0"/>
    <s v="CLEVELAND"/>
    <x v="0"/>
    <s v="44135"/>
  </r>
  <r>
    <x v="531"/>
    <x v="531"/>
    <x v="609"/>
    <x v="267"/>
    <s v="04017-11"/>
    <x v="369"/>
    <x v="1"/>
    <x v="2"/>
    <s v="Lordstown"/>
    <x v="0"/>
    <s v="44481"/>
  </r>
  <r>
    <x v="532"/>
    <x v="532"/>
    <x v="610"/>
    <x v="268"/>
    <s v="04017-49"/>
    <x v="370"/>
    <x v="1"/>
    <x v="17"/>
    <s v="YOUNGSTOWN"/>
    <x v="0"/>
    <s v="44514"/>
  </r>
  <r>
    <x v="533"/>
    <x v="533"/>
    <x v="611"/>
    <x v="10"/>
    <s v="04017-53"/>
    <x v="147"/>
    <x v="2"/>
    <x v="6"/>
    <s v="MEDINA"/>
    <x v="0"/>
    <s v="44256"/>
  </r>
  <r>
    <x v="534"/>
    <x v="534"/>
    <x v="612"/>
    <x v="8"/>
    <s v="04017-42"/>
    <x v="9"/>
    <x v="1"/>
    <x v="2"/>
    <s v="COPLEY"/>
    <x v="0"/>
    <s v="44321"/>
  </r>
  <r>
    <x v="535"/>
    <x v="535"/>
    <x v="613"/>
    <x v="58"/>
    <s v="04017-32"/>
    <x v="150"/>
    <x v="1"/>
    <x v="9"/>
    <s v="KENT"/>
    <x v="0"/>
    <s v="44240"/>
  </r>
  <r>
    <x v="536"/>
    <x v="536"/>
    <x v="614"/>
    <x v="37"/>
    <s v="04166-01"/>
    <x v="371"/>
    <x v="5"/>
    <x v="38"/>
    <s v="PERRYSBURG"/>
    <x v="0"/>
    <s v="43551"/>
  </r>
  <r>
    <x v="537"/>
    <x v="537"/>
    <x v="615"/>
    <x v="269"/>
    <s v="04734-01"/>
    <x v="372"/>
    <x v="4"/>
    <x v="88"/>
    <s v="CAMDEN"/>
    <x v="0"/>
    <s v="45311"/>
  </r>
  <r>
    <x v="538"/>
    <x v="538"/>
    <x v="616"/>
    <x v="270"/>
    <s v="04736-01"/>
    <x v="373"/>
    <x v="4"/>
    <x v="88"/>
    <s v="WEST ALEXANDRIA"/>
    <x v="0"/>
    <s v="45381"/>
  </r>
  <r>
    <x v="539"/>
    <x v="539"/>
    <x v="617"/>
    <x v="271"/>
    <s v="05039-01"/>
    <x v="374"/>
    <x v="9"/>
    <x v="85"/>
    <s v="NEGLEY"/>
    <x v="0"/>
    <s v="44441"/>
  </r>
  <r>
    <x v="540"/>
    <x v="540"/>
    <x v="618"/>
    <x v="44"/>
    <s v="04795-44"/>
    <x v="49"/>
    <x v="4"/>
    <x v="3"/>
    <s v="BENWOOD"/>
    <x v="3"/>
    <s v="26031"/>
  </r>
  <r>
    <x v="541"/>
    <x v="541"/>
    <x v="619"/>
    <x v="45"/>
    <s v="04795-12"/>
    <x v="50"/>
    <x v="9"/>
    <x v="23"/>
    <s v="WEIRTON"/>
    <x v="3"/>
    <s v="26062"/>
  </r>
  <r>
    <x v="542"/>
    <x v="542"/>
    <x v="620"/>
    <x v="10"/>
    <s v="04201-53"/>
    <x v="147"/>
    <x v="2"/>
    <x v="6"/>
    <s v="MEDINA"/>
    <x v="0"/>
    <s v="44256"/>
  </r>
  <r>
    <x v="543"/>
    <x v="543"/>
    <x v="621"/>
    <x v="272"/>
    <s v="04201-01"/>
    <x v="375"/>
    <x v="2"/>
    <x v="89"/>
    <s v="LOUDONVILLE"/>
    <x v="0"/>
    <s v="448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DB55A1-1D5C-4117-9F40-08FF8A63769F}" name="PivotTable9" cacheId="0" dataOnRows="1" applyNumberFormats="0" applyBorderFormats="0" applyFontFormats="0" applyPatternFormats="0" applyAlignmentFormats="0" applyWidthHeightFormats="1" dataCaption="Data" updatedVersion="6" minRefreshableVersion="3" showMemberPropertyTips="0" useAutoFormatting="1" itemPrintTitles="1" createdVersion="6" indent="0" compact="0" compactData="0" gridDropZones="1">
  <location ref="A29:L653" firstHeaderRow="2" firstDataRow="2" firstDataCol="6"/>
  <pivotFields count="11">
    <pivotField axis="axisRow" compact="0" outline="0" showAll="0" includeNewItemsInFilter="1" defaultSubtotal="0">
      <items count="5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s>
      <extLst>
        <ext xmlns:x14="http://schemas.microsoft.com/office/spreadsheetml/2009/9/main" uri="{2946ED86-A175-432a-8AC1-64E0C546D7DE}">
          <x14:pivotField fillDownLabels="1"/>
        </ext>
      </extLst>
    </pivotField>
    <pivotField compact="0" outline="0" showAll="0" includeNewItemsInFilter="1" defaultSubtotal="0">
      <items count="544">
        <item x="0"/>
        <item x="1"/>
        <item x="2"/>
        <item x="3"/>
        <item x="4"/>
        <item x="5"/>
        <item x="6"/>
        <item x="7"/>
        <item x="8"/>
        <item x="9"/>
        <item x="10"/>
        <item x="11"/>
        <item x="12"/>
        <item x="13"/>
        <item x="14"/>
        <item x="16"/>
        <item x="17"/>
        <item x="19"/>
        <item x="21"/>
        <item x="22"/>
        <item x="23"/>
        <item x="24"/>
        <item x="25"/>
        <item x="26"/>
        <item x="27"/>
        <item x="28"/>
        <item x="29"/>
        <item x="30"/>
        <item x="31"/>
        <item x="32"/>
        <item x="33"/>
        <item x="34"/>
        <item x="35"/>
        <item x="36"/>
        <item x="37"/>
        <item x="38"/>
        <item x="39"/>
        <item x="40"/>
        <item x="41"/>
        <item x="42"/>
        <item x="44"/>
        <item x="45"/>
        <item x="46"/>
        <item x="47"/>
        <item x="48"/>
        <item x="49"/>
        <item x="50"/>
        <item x="51"/>
        <item x="52"/>
        <item x="53"/>
        <item x="54"/>
        <item x="55"/>
        <item x="56"/>
        <item x="57"/>
        <item x="58"/>
        <item x="59"/>
        <item x="61"/>
        <item x="62"/>
        <item x="65"/>
        <item x="66"/>
        <item x="67"/>
        <item x="68"/>
        <item x="69"/>
        <item x="70"/>
        <item x="71"/>
        <item x="72"/>
        <item x="73"/>
        <item x="74"/>
        <item x="75"/>
        <item x="76"/>
        <item x="77"/>
        <item x="78"/>
        <item x="79"/>
        <item x="80"/>
        <item x="81"/>
        <item x="82"/>
        <item x="83"/>
        <item x="84"/>
        <item x="85"/>
        <item x="86"/>
        <item x="87"/>
        <item x="88"/>
        <item x="89"/>
        <item x="90"/>
        <item x="91"/>
        <item x="93"/>
        <item x="94"/>
        <item x="95"/>
        <item x="96"/>
        <item x="97"/>
        <item x="98"/>
        <item x="99"/>
        <item x="100"/>
        <item x="101"/>
        <item x="102"/>
        <item x="103"/>
        <item x="105"/>
        <item x="106"/>
        <item x="107"/>
        <item x="108"/>
        <item x="109"/>
        <item x="110"/>
        <item x="111"/>
        <item x="112"/>
        <item x="113"/>
        <item x="115"/>
        <item x="117"/>
        <item x="118"/>
        <item x="119"/>
        <item x="120"/>
        <item x="121"/>
        <item x="122"/>
        <item x="123"/>
        <item x="124"/>
        <item x="125"/>
        <item x="126"/>
        <item x="127"/>
        <item x="128"/>
        <item x="129"/>
        <item x="130"/>
        <item x="131"/>
        <item x="132"/>
        <item x="133"/>
        <item x="134"/>
        <item x="135"/>
        <item x="136"/>
        <item x="137"/>
        <item x="138"/>
        <item x="140"/>
        <item x="141"/>
        <item x="142"/>
        <item x="143"/>
        <item x="144"/>
        <item x="145"/>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3"/>
        <item x="185"/>
        <item x="186"/>
        <item x="187"/>
        <item x="188"/>
        <item x="189"/>
        <item x="190"/>
        <item x="191"/>
        <item x="194"/>
        <item x="195"/>
        <item x="196"/>
        <item x="197"/>
        <item x="198"/>
        <item x="199"/>
        <item x="200"/>
        <item x="201"/>
        <item x="202"/>
        <item x="203"/>
        <item x="204"/>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3"/>
        <item x="254"/>
        <item x="255"/>
        <item x="256"/>
        <item x="257"/>
        <item x="258"/>
        <item x="260"/>
        <item x="261"/>
        <item x="262"/>
        <item x="263"/>
        <item x="264"/>
        <item x="265"/>
        <item x="266"/>
        <item x="267"/>
        <item x="269"/>
        <item x="270"/>
        <item x="271"/>
        <item x="272"/>
        <item x="273"/>
        <item x="274"/>
        <item x="275"/>
        <item x="276"/>
        <item x="277"/>
        <item x="278"/>
        <item x="279"/>
        <item x="280"/>
        <item x="282"/>
        <item x="284"/>
        <item x="285"/>
        <item x="286"/>
        <item x="287"/>
        <item x="288"/>
        <item x="289"/>
        <item x="290"/>
        <item x="291"/>
        <item x="292"/>
        <item x="293"/>
        <item x="294"/>
        <item x="295"/>
        <item x="296"/>
        <item x="297"/>
        <item x="298"/>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5"/>
        <item x="506"/>
        <item x="507"/>
        <item x="508"/>
        <item x="509"/>
        <item x="510"/>
        <item x="511"/>
        <item x="512"/>
        <item x="513"/>
        <item x="514"/>
        <item x="515"/>
        <item x="516"/>
        <item x="517"/>
        <item x="518"/>
        <item x="519"/>
        <item x="520"/>
        <item x="522"/>
        <item x="523"/>
        <item x="524"/>
        <item x="525"/>
        <item x="526"/>
        <item x="527"/>
        <item x="528"/>
        <item x="529"/>
        <item x="530"/>
        <item x="531"/>
        <item x="532"/>
        <item x="533"/>
        <item x="534"/>
        <item x="535"/>
        <item x="536"/>
        <item x="537"/>
        <item x="538"/>
        <item x="539"/>
        <item x="541"/>
        <item x="542"/>
        <item x="543"/>
        <item x="15"/>
        <item x="18"/>
        <item x="20"/>
        <item x="43"/>
        <item x="60"/>
        <item x="63"/>
        <item x="64"/>
        <item x="92"/>
        <item x="104"/>
        <item x="114"/>
        <item x="116"/>
        <item x="139"/>
        <item x="146"/>
        <item x="181"/>
        <item x="182"/>
        <item x="184"/>
        <item x="192"/>
        <item x="193"/>
        <item x="205"/>
        <item x="252"/>
        <item x="259"/>
        <item x="268"/>
        <item x="281"/>
        <item x="283"/>
        <item x="299"/>
        <item x="399"/>
        <item x="436"/>
        <item x="473"/>
        <item x="476"/>
        <item x="504"/>
        <item x="521"/>
        <item x="540"/>
      </items>
      <extLst>
        <ext xmlns:x14="http://schemas.microsoft.com/office/spreadsheetml/2009/9/main" uri="{2946ED86-A175-432a-8AC1-64E0C546D7DE}">
          <x14:pivotField fillDownLabels="1"/>
        </ext>
      </extLst>
    </pivotField>
    <pivotField axis="axisRow" compact="0" outline="0" showAll="0" includeNewItemsInFilter="1" defaultSubtotal="0">
      <items count="622">
        <item x="114"/>
        <item x="188"/>
        <item x="427"/>
        <item x="586"/>
        <item x="364"/>
        <item x="370"/>
        <item x="369"/>
        <item x="367"/>
        <item x="368"/>
        <item x="365"/>
        <item x="366"/>
        <item x="391"/>
        <item x="394"/>
        <item x="392"/>
        <item x="393"/>
        <item x="395"/>
        <item x="404"/>
        <item x="555"/>
        <item x="568"/>
        <item x="390"/>
        <item x="605"/>
        <item x="609"/>
        <item x="606"/>
        <item x="613"/>
        <item x="612"/>
        <item x="610"/>
        <item x="611"/>
        <item x="569"/>
        <item x="608"/>
        <item x="607"/>
        <item x="352"/>
        <item x="496"/>
        <item x="167"/>
        <item x="254"/>
        <item x="405"/>
        <item x="371"/>
        <item x="380"/>
        <item x="381"/>
        <item x="382"/>
        <item x="379"/>
        <item x="378"/>
        <item x="375"/>
        <item x="374"/>
        <item x="376"/>
        <item x="377"/>
        <item x="372"/>
        <item x="373"/>
        <item x="383"/>
        <item x="587"/>
        <item x="589"/>
        <item x="547"/>
        <item x="546"/>
        <item x="567"/>
        <item x="178"/>
        <item x="187"/>
        <item x="180"/>
        <item x="179"/>
        <item x="182"/>
        <item x="181"/>
        <item x="184"/>
        <item x="186"/>
        <item x="183"/>
        <item x="185"/>
        <item x="278"/>
        <item x="280"/>
        <item x="277"/>
        <item x="279"/>
        <item x="320"/>
        <item x="322"/>
        <item x="321"/>
        <item x="129"/>
        <item x="454"/>
        <item x="250"/>
        <item x="241"/>
        <item x="116"/>
        <item x="204"/>
        <item x="559"/>
        <item x="564"/>
        <item x="561"/>
        <item x="563"/>
        <item x="562"/>
        <item x="560"/>
        <item x="600"/>
        <item x="112"/>
        <item x="123"/>
        <item x="125"/>
        <item x="565"/>
        <item x="528"/>
        <item x="525"/>
        <item x="527"/>
        <item x="526"/>
        <item x="115"/>
        <item x="550"/>
        <item x="551"/>
        <item x="552"/>
        <item x="455"/>
        <item x="534"/>
        <item x="202"/>
        <item x="435"/>
        <item x="433"/>
        <item x="437"/>
        <item x="436"/>
        <item x="434"/>
        <item x="432"/>
        <item x="110"/>
        <item x="119"/>
        <item x="121"/>
        <item x="49"/>
        <item x="127"/>
        <item x="553"/>
        <item x="554"/>
        <item x="160"/>
        <item x="161"/>
        <item x="23"/>
        <item x="25"/>
        <item x="614"/>
        <item x="549"/>
        <item x="621"/>
        <item x="620"/>
        <item x="355"/>
        <item x="362"/>
        <item x="360"/>
        <item x="359"/>
        <item x="358"/>
        <item x="361"/>
        <item x="357"/>
        <item x="103"/>
        <item x="105"/>
        <item x="104"/>
        <item x="282"/>
        <item x="473"/>
        <item x="430"/>
        <item x="412"/>
        <item x="16"/>
        <item x="17"/>
        <item x="19"/>
        <item x="38"/>
        <item x="439"/>
        <item x="438"/>
        <item x="81"/>
        <item x="301"/>
        <item x="27"/>
        <item x="413"/>
        <item x="89"/>
        <item x="98"/>
        <item x="156"/>
        <item x="512"/>
        <item x="162"/>
        <item x="194"/>
        <item x="195"/>
        <item x="196"/>
        <item x="80"/>
        <item x="441"/>
        <item x="442"/>
        <item x="443"/>
        <item x="2"/>
        <item x="85"/>
        <item x="296"/>
        <item x="474"/>
        <item x="521"/>
        <item x="8"/>
        <item x="10"/>
        <item x="9"/>
        <item x="11"/>
        <item x="13"/>
        <item x="578"/>
        <item x="580"/>
        <item x="46"/>
        <item x="297"/>
        <item x="453"/>
        <item x="170"/>
        <item x="99"/>
        <item x="531"/>
        <item x="548"/>
        <item x="12"/>
        <item x="14"/>
        <item x="290"/>
        <item x="575"/>
        <item x="7"/>
        <item x="529"/>
        <item x="28"/>
        <item x="299"/>
        <item x="520"/>
        <item x="15"/>
        <item x="5"/>
        <item x="577"/>
        <item x="508"/>
        <item x="507"/>
        <item x="509"/>
        <item x="6"/>
        <item x="571"/>
        <item x="573"/>
        <item x="570"/>
        <item x="576"/>
        <item x="92"/>
        <item x="91"/>
        <item x="574"/>
        <item x="490"/>
        <item x="485"/>
        <item x="489"/>
        <item x="590"/>
        <item x="511"/>
        <item x="591"/>
        <item x="424"/>
        <item x="493"/>
        <item x="495"/>
        <item x="492"/>
        <item x="284"/>
        <item x="294"/>
        <item x="90"/>
        <item x="522"/>
        <item x="422"/>
        <item x="459"/>
        <item x="47"/>
        <item x="604"/>
        <item x="300"/>
        <item x="475"/>
        <item x="86"/>
        <item x="481"/>
        <item x="480"/>
        <item x="479"/>
        <item x="498"/>
        <item x="385"/>
        <item x="388"/>
        <item x="389"/>
        <item x="387"/>
        <item x="418"/>
        <item x="319"/>
        <item x="402"/>
        <item x="514"/>
        <item x="584"/>
        <item x="499"/>
        <item x="384"/>
        <item x="497"/>
        <item x="306"/>
        <item x="603"/>
        <item x="421"/>
        <item x="447"/>
        <item x="353"/>
        <item x="267"/>
        <item x="273"/>
        <item x="276"/>
        <item x="33"/>
        <item x="35"/>
        <item x="102"/>
        <item x="324"/>
        <item x="31"/>
        <item x="444"/>
        <item x="452"/>
        <item x="556"/>
        <item x="29"/>
        <item x="476"/>
        <item x="592"/>
        <item x="411"/>
        <item x="109"/>
        <item x="48"/>
        <item x="599"/>
        <item x="304"/>
        <item x="96"/>
        <item x="601"/>
        <item x="510"/>
        <item x="268"/>
        <item x="270"/>
        <item x="314"/>
        <item x="271"/>
        <item x="588"/>
        <item x="281"/>
        <item x="274"/>
        <item x="147"/>
        <item x="149"/>
        <item x="309"/>
        <item x="312"/>
        <item x="311"/>
        <item x="310"/>
        <item x="323"/>
        <item x="416"/>
        <item x="445"/>
        <item x="275"/>
        <item x="598"/>
        <item x="97"/>
        <item x="602"/>
        <item x="615"/>
        <item x="616"/>
        <item x="265"/>
        <item x="68"/>
        <item x="64"/>
        <item x="63"/>
        <item x="66"/>
        <item x="65"/>
        <item x="62"/>
        <item x="69"/>
        <item x="72"/>
        <item x="133"/>
        <item x="134"/>
        <item x="135"/>
        <item x="54"/>
        <item x="53"/>
        <item x="78"/>
        <item x="52"/>
        <item x="597"/>
        <item x="414"/>
        <item x="36"/>
        <item x="256"/>
        <item x="159"/>
        <item x="533"/>
        <item x="349"/>
        <item x="342"/>
        <item x="350"/>
        <item x="345"/>
        <item x="346"/>
        <item x="351"/>
        <item x="348"/>
        <item x="347"/>
        <item x="137"/>
        <item x="136"/>
        <item x="140"/>
        <item x="139"/>
        <item x="138"/>
        <item x="205"/>
        <item x="206"/>
        <item x="242"/>
        <item x="305"/>
        <item x="596"/>
        <item x="272"/>
        <item x="141"/>
        <item x="144"/>
        <item x="143"/>
        <item x="146"/>
        <item x="266"/>
        <item x="595"/>
        <item x="107"/>
        <item x="325"/>
        <item x="21"/>
        <item x="158"/>
        <item x="593"/>
        <item x="308"/>
        <item x="619"/>
        <item x="477"/>
        <item x="478"/>
        <item x="532"/>
        <item x="292"/>
        <item x="239"/>
        <item x="327"/>
        <item x="197"/>
        <item x="198"/>
        <item x="199"/>
        <item x="417"/>
        <item x="209"/>
        <item x="210"/>
        <item x="315"/>
        <item x="252"/>
        <item x="253"/>
        <item x="316"/>
        <item x="317"/>
        <item x="207"/>
        <item x="583"/>
        <item x="106"/>
        <item x="582"/>
        <item x="101"/>
        <item x="285"/>
        <item x="255"/>
        <item x="257"/>
        <item x="259"/>
        <item x="260"/>
        <item x="258"/>
        <item x="83"/>
        <item x="151"/>
        <item x="333"/>
        <item x="334"/>
        <item x="332"/>
        <item x="329"/>
        <item x="331"/>
        <item x="330"/>
        <item x="339"/>
        <item x="341"/>
        <item x="338"/>
        <item x="343"/>
        <item x="340"/>
        <item x="336"/>
        <item x="337"/>
        <item x="335"/>
        <item x="467"/>
        <item x="465"/>
        <item x="463"/>
        <item x="471"/>
        <item x="472"/>
        <item x="466"/>
        <item x="469"/>
        <item x="468"/>
        <item x="470"/>
        <item x="502"/>
        <item x="302"/>
        <item x="166"/>
        <item x="504"/>
        <item x="506"/>
        <item x="513"/>
        <item x="132"/>
        <item x="39"/>
        <item x="44"/>
        <item x="43"/>
        <item x="42"/>
        <item x="41"/>
        <item x="163"/>
        <item x="263"/>
        <item x="264"/>
        <item x="262"/>
        <item x="261"/>
        <item x="500"/>
        <item x="501"/>
        <item x="169"/>
        <item x="448"/>
        <item x="450"/>
        <item x="449"/>
        <item x="108"/>
        <item x="165"/>
        <item x="152"/>
        <item x="440"/>
        <item x="516"/>
        <item x="519"/>
        <item x="540"/>
        <item x="544"/>
        <item x="542"/>
        <item x="543"/>
        <item x="617"/>
        <item x="401"/>
        <item x="397"/>
        <item x="398"/>
        <item x="400"/>
        <item x="399"/>
        <item x="154"/>
        <item x="518"/>
        <item x="446"/>
        <item x="451"/>
        <item x="517"/>
        <item x="530"/>
        <item x="409"/>
        <item x="407"/>
        <item x="406"/>
        <item x="410"/>
        <item x="408"/>
        <item x="515"/>
        <item x="73"/>
        <item x="75"/>
        <item x="74"/>
        <item x="76"/>
        <item x="77"/>
        <item x="45"/>
        <item x="189"/>
        <item x="193"/>
        <item x="192"/>
        <item x="191"/>
        <item x="190"/>
        <item x="95"/>
        <item x="94"/>
        <item x="93"/>
        <item x="457"/>
        <item x="456"/>
        <item x="177"/>
        <item x="171"/>
        <item x="174"/>
        <item x="173"/>
        <item x="176"/>
        <item x="172"/>
        <item x="175"/>
        <item x="61"/>
        <item x="58"/>
        <item x="59"/>
        <item x="60"/>
        <item x="57"/>
        <item x="55"/>
        <item x="56"/>
        <item x="79"/>
        <item x="536"/>
        <item x="87"/>
        <item x="88"/>
        <item x="1"/>
        <item x="3"/>
        <item x="0"/>
        <item x="84"/>
        <item x="4"/>
        <item x="537"/>
        <item x="539"/>
        <item x="118"/>
        <item x="535"/>
        <item x="243"/>
        <item x="245"/>
        <item x="248"/>
        <item x="247"/>
        <item x="249"/>
        <item x="246"/>
        <item x="211"/>
        <item x="225"/>
        <item x="232"/>
        <item x="231"/>
        <item x="221"/>
        <item x="228"/>
        <item x="218"/>
        <item x="237"/>
        <item x="236"/>
        <item x="238"/>
        <item x="220"/>
        <item x="491"/>
        <item x="594"/>
        <item x="30"/>
        <item x="354"/>
        <item x="150"/>
        <item x="51"/>
        <item x="145"/>
        <item x="318"/>
        <item x="462"/>
        <item x="461"/>
        <item x="460"/>
        <item x="287"/>
        <item x="289"/>
        <item x="153"/>
        <item x="18"/>
        <item x="20"/>
        <item x="22"/>
        <item x="24"/>
        <item x="26"/>
        <item x="32"/>
        <item x="34"/>
        <item x="37"/>
        <item x="40"/>
        <item x="50"/>
        <item x="67"/>
        <item x="70"/>
        <item x="71"/>
        <item x="82"/>
        <item x="100"/>
        <item x="111"/>
        <item x="113"/>
        <item x="117"/>
        <item x="120"/>
        <item x="122"/>
        <item x="124"/>
        <item x="126"/>
        <item x="128"/>
        <item x="130"/>
        <item x="131"/>
        <item x="142"/>
        <item x="148"/>
        <item x="155"/>
        <item x="157"/>
        <item x="164"/>
        <item x="168"/>
        <item x="200"/>
        <item x="201"/>
        <item x="203"/>
        <item x="208"/>
        <item x="212"/>
        <item x="213"/>
        <item x="214"/>
        <item x="215"/>
        <item x="216"/>
        <item x="217"/>
        <item x="219"/>
        <item x="222"/>
        <item x="223"/>
        <item x="224"/>
        <item x="226"/>
        <item x="227"/>
        <item x="229"/>
        <item x="230"/>
        <item x="233"/>
        <item x="234"/>
        <item x="235"/>
        <item x="240"/>
        <item x="244"/>
        <item x="251"/>
        <item x="269"/>
        <item x="283"/>
        <item x="286"/>
        <item x="288"/>
        <item x="291"/>
        <item x="293"/>
        <item x="295"/>
        <item x="298"/>
        <item x="303"/>
        <item x="307"/>
        <item x="313"/>
        <item x="326"/>
        <item x="328"/>
        <item x="344"/>
        <item x="356"/>
        <item x="363"/>
        <item x="386"/>
        <item x="396"/>
        <item x="403"/>
        <item x="415"/>
        <item x="419"/>
        <item x="420"/>
        <item x="423"/>
        <item x="425"/>
        <item x="426"/>
        <item x="428"/>
        <item x="429"/>
        <item x="431"/>
        <item x="458"/>
        <item x="464"/>
        <item x="482"/>
        <item x="483"/>
        <item x="484"/>
        <item x="486"/>
        <item x="487"/>
        <item x="488"/>
        <item x="494"/>
        <item x="503"/>
        <item x="505"/>
        <item x="523"/>
        <item x="524"/>
        <item x="538"/>
        <item x="541"/>
        <item x="545"/>
        <item x="557"/>
        <item x="558"/>
        <item x="566"/>
        <item x="572"/>
        <item x="579"/>
        <item x="581"/>
        <item x="585"/>
        <item x="618"/>
      </items>
      <extLst>
        <ext xmlns:x14="http://schemas.microsoft.com/office/spreadsheetml/2009/9/main" uri="{2946ED86-A175-432a-8AC1-64E0C546D7DE}">
          <x14:pivotField fillDownLabels="1"/>
        </ext>
      </extLst>
    </pivotField>
    <pivotField axis="axisRow" compact="0" outline="0" showAll="0" includeNewItemsInFilter="1" defaultSubtotal="0">
      <items count="2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s>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axis="axisRow" compact="0" outline="0" showAll="0" includeNewItemsInFilter="1" defaultSubtotal="0">
      <items count="376">
        <item x="363"/>
        <item x="124"/>
        <item x="49"/>
        <item x="47"/>
        <item x="277"/>
        <item x="256"/>
        <item x="234"/>
        <item x="185"/>
        <item x="118"/>
        <item x="159"/>
        <item x="312"/>
        <item x="1"/>
        <item x="28"/>
        <item x="314"/>
        <item x="35"/>
        <item x="359"/>
        <item x="166"/>
        <item x="272"/>
        <item x="160"/>
        <item x="293"/>
        <item x="183"/>
        <item x="126"/>
        <item x="365"/>
        <item x="56"/>
        <item x="251"/>
        <item x="336"/>
        <item x="128"/>
        <item x="63"/>
        <item x="260"/>
        <item x="356"/>
        <item x="90"/>
        <item x="285"/>
        <item x="150"/>
        <item x="37"/>
        <item x="165"/>
        <item x="71"/>
        <item x="216"/>
        <item x="347"/>
        <item x="149"/>
        <item x="211"/>
        <item x="44"/>
        <item x="266"/>
        <item x="213"/>
        <item x="190"/>
        <item x="278"/>
        <item x="355"/>
        <item x="341"/>
        <item x="367"/>
        <item x="254"/>
        <item x="205"/>
        <item x="243"/>
        <item x="5"/>
        <item x="174"/>
        <item x="325"/>
        <item x="86"/>
        <item x="157"/>
        <item x="335"/>
        <item x="330"/>
        <item x="139"/>
        <item x="101"/>
        <item x="354"/>
        <item x="283"/>
        <item x="143"/>
        <item x="244"/>
        <item x="340"/>
        <item x="221"/>
        <item x="108"/>
        <item x="228"/>
        <item x="247"/>
        <item x="88"/>
        <item x="370"/>
        <item x="206"/>
        <item x="26"/>
        <item x="284"/>
        <item x="346"/>
        <item x="100"/>
        <item x="144"/>
        <item x="232"/>
        <item x="112"/>
        <item x="353"/>
        <item x="89"/>
        <item x="74"/>
        <item x="362"/>
        <item x="236"/>
        <item x="73"/>
        <item x="275"/>
        <item x="368"/>
        <item x="204"/>
        <item x="281"/>
        <item x="250"/>
        <item x="223"/>
        <item x="34"/>
        <item x="122"/>
        <item x="366"/>
        <item x="269"/>
        <item x="352"/>
        <item x="291"/>
        <item x="109"/>
        <item x="46"/>
        <item x="12"/>
        <item x="76"/>
        <item x="334"/>
        <item x="373"/>
        <item x="55"/>
        <item x="360"/>
        <item x="10"/>
        <item x="120"/>
        <item x="307"/>
        <item x="350"/>
        <item x="110"/>
        <item x="196"/>
        <item x="158"/>
        <item x="372"/>
        <item x="209"/>
        <item x="337"/>
        <item x="92"/>
        <item x="239"/>
        <item x="39"/>
        <item x="194"/>
        <item x="241"/>
        <item x="87"/>
        <item x="173"/>
        <item x="197"/>
        <item x="38"/>
        <item x="329"/>
        <item x="134"/>
        <item x="319"/>
        <item x="296"/>
        <item x="68"/>
        <item x="371"/>
        <item x="361"/>
        <item x="7"/>
        <item x="186"/>
        <item x="81"/>
        <item x="31"/>
        <item x="313"/>
        <item x="305"/>
        <item x="172"/>
        <item x="164"/>
        <item x="233"/>
        <item x="246"/>
        <item x="178"/>
        <item x="181"/>
        <item x="271"/>
        <item x="60"/>
        <item x="263"/>
        <item x="58"/>
        <item x="67"/>
        <item x="301"/>
        <item x="201"/>
        <item x="310"/>
        <item x="220"/>
        <item x="282"/>
        <item x="85"/>
        <item x="342"/>
        <item x="32"/>
        <item x="180"/>
        <item x="286"/>
        <item x="29"/>
        <item x="195"/>
        <item x="151"/>
        <item x="287"/>
        <item x="2"/>
        <item x="203"/>
        <item x="9"/>
        <item x="273"/>
        <item x="268"/>
        <item x="130"/>
        <item x="357"/>
        <item x="127"/>
        <item x="169"/>
        <item x="265"/>
        <item x="103"/>
        <item x="114"/>
        <item x="65"/>
        <item x="193"/>
        <item x="230"/>
        <item x="255"/>
        <item x="163"/>
        <item x="177"/>
        <item x="294"/>
        <item x="333"/>
        <item x="316"/>
        <item x="96"/>
        <item x="188"/>
        <item x="8"/>
        <item x="171"/>
        <item x="51"/>
        <item x="168"/>
        <item x="153"/>
        <item x="343"/>
        <item x="115"/>
        <item x="138"/>
        <item x="227"/>
        <item x="155"/>
        <item x="317"/>
        <item x="50"/>
        <item x="302"/>
        <item x="0"/>
        <item x="176"/>
        <item x="199"/>
        <item x="43"/>
        <item x="13"/>
        <item x="19"/>
        <item x="79"/>
        <item x="75"/>
        <item x="175"/>
        <item x="33"/>
        <item x="288"/>
        <item x="136"/>
        <item x="224"/>
        <item x="54"/>
        <item x="198"/>
        <item x="264"/>
        <item x="25"/>
        <item x="59"/>
        <item x="40"/>
        <item x="259"/>
        <item x="258"/>
        <item x="226"/>
        <item x="245"/>
        <item x="358"/>
        <item x="119"/>
        <item x="217"/>
        <item x="252"/>
        <item x="116"/>
        <item x="202"/>
        <item x="131"/>
        <item x="161"/>
        <item x="97"/>
        <item x="200"/>
        <item x="123"/>
        <item x="102"/>
        <item x="98"/>
        <item x="218"/>
        <item x="104"/>
        <item x="66"/>
        <item x="298"/>
        <item x="338"/>
        <item x="276"/>
        <item x="323"/>
        <item x="270"/>
        <item x="3"/>
        <item x="182"/>
        <item x="253"/>
        <item x="192"/>
        <item x="30"/>
        <item x="62"/>
        <item x="280"/>
        <item x="156"/>
        <item x="4"/>
        <item x="21"/>
        <item x="154"/>
        <item x="326"/>
        <item x="17"/>
        <item x="225"/>
        <item x="93"/>
        <item x="14"/>
        <item x="292"/>
        <item x="262"/>
        <item x="57"/>
        <item x="351"/>
        <item x="129"/>
        <item x="331"/>
        <item x="299"/>
        <item x="121"/>
        <item x="189"/>
        <item x="82"/>
        <item x="20"/>
        <item x="324"/>
        <item x="78"/>
        <item x="83"/>
        <item x="318"/>
        <item x="99"/>
        <item x="303"/>
        <item x="306"/>
        <item x="375"/>
        <item x="279"/>
        <item x="349"/>
        <item x="248"/>
        <item x="274"/>
        <item x="137"/>
        <item x="311"/>
        <item x="249"/>
        <item x="106"/>
        <item x="80"/>
        <item x="208"/>
        <item x="315"/>
        <item x="238"/>
        <item x="309"/>
        <item x="111"/>
        <item x="167"/>
        <item x="328"/>
        <item x="105"/>
        <item x="320"/>
        <item x="148"/>
        <item x="147"/>
        <item x="41"/>
        <item x="231"/>
        <item x="235"/>
        <item x="374"/>
        <item x="145"/>
        <item x="237"/>
        <item x="348"/>
        <item x="11"/>
        <item x="146"/>
        <item x="125"/>
        <item x="297"/>
        <item x="24"/>
        <item x="140"/>
        <item x="304"/>
        <item x="77"/>
        <item x="257"/>
        <item x="321"/>
        <item x="91"/>
        <item x="327"/>
        <item x="6"/>
        <item x="69"/>
        <item x="207"/>
        <item x="261"/>
        <item x="141"/>
        <item x="48"/>
        <item x="222"/>
        <item x="364"/>
        <item x="45"/>
        <item x="23"/>
        <item x="15"/>
        <item x="70"/>
        <item x="170"/>
        <item x="242"/>
        <item x="36"/>
        <item x="215"/>
        <item x="219"/>
        <item x="61"/>
        <item x="16"/>
        <item x="18"/>
        <item x="22"/>
        <item x="27"/>
        <item x="42"/>
        <item x="52"/>
        <item x="53"/>
        <item x="64"/>
        <item x="72"/>
        <item x="84"/>
        <item x="94"/>
        <item x="95"/>
        <item x="107"/>
        <item x="113"/>
        <item x="117"/>
        <item x="132"/>
        <item x="133"/>
        <item x="135"/>
        <item x="142"/>
        <item x="152"/>
        <item x="162"/>
        <item x="179"/>
        <item x="184"/>
        <item x="187"/>
        <item x="191"/>
        <item x="210"/>
        <item x="212"/>
        <item x="214"/>
        <item x="229"/>
        <item x="240"/>
        <item x="267"/>
        <item x="289"/>
        <item x="290"/>
        <item x="295"/>
        <item x="300"/>
        <item x="308"/>
        <item x="322"/>
        <item x="332"/>
        <item x="339"/>
        <item x="344"/>
        <item x="345"/>
        <item x="369"/>
      </items>
      <extLst>
        <ext xmlns:x14="http://schemas.microsoft.com/office/spreadsheetml/2009/9/main" uri="{2946ED86-A175-432a-8AC1-64E0C546D7DE}">
          <x14:pivotField fillDownLabels="1"/>
        </ext>
      </extLst>
    </pivotField>
    <pivotField axis="axisRow" compact="0" outline="0" showAll="0" includeNewItemsInFilter="1" defaultSubtotal="0">
      <items count="12">
        <item x="10"/>
        <item x="5"/>
        <item x="2"/>
        <item x="1"/>
        <item x="8"/>
        <item x="11"/>
        <item x="6"/>
        <item x="4"/>
        <item x="3"/>
        <item x="7"/>
        <item x="9"/>
        <item x="0"/>
      </items>
      <extLst>
        <ext xmlns:x14="http://schemas.microsoft.com/office/spreadsheetml/2009/9/main" uri="{2946ED86-A175-432a-8AC1-64E0C546D7DE}">
          <x14:pivotField fillDownLabels="1"/>
        </ext>
      </extLst>
    </pivotField>
    <pivotField axis="axisRow" compact="0" outline="0" showAll="0" includeNewItemsInFilter="1" defaultSubtotal="0">
      <items count="90">
        <item x="77"/>
        <item x="70"/>
        <item x="22"/>
        <item x="51"/>
        <item x="37"/>
        <item x="89"/>
        <item x="20"/>
        <item x="29"/>
        <item x="25"/>
        <item x="52"/>
        <item x="56"/>
        <item x="81"/>
        <item x="63"/>
        <item x="12"/>
        <item x="7"/>
        <item x="65"/>
        <item x="85"/>
        <item x="26"/>
        <item x="71"/>
        <item x="0"/>
        <item x="34"/>
        <item x="74"/>
        <item x="31"/>
        <item x="60"/>
        <item x="66"/>
        <item x="69"/>
        <item x="35"/>
        <item x="68"/>
        <item x="16"/>
        <item x="55"/>
        <item x="27"/>
        <item x="21"/>
        <item x="76"/>
        <item x="83"/>
        <item x="53"/>
        <item x="32"/>
        <item x="43"/>
        <item x="33"/>
        <item x="44"/>
        <item x="30"/>
        <item x="82"/>
        <item x="80"/>
        <item x="42"/>
        <item x="1"/>
        <item x="18"/>
        <item x="28"/>
        <item x="47"/>
        <item x="19"/>
        <item x="67"/>
        <item x="17"/>
        <item x="6"/>
        <item x="54"/>
        <item x="86"/>
        <item x="13"/>
        <item x="40"/>
        <item x="24"/>
        <item x="11"/>
        <item x="73"/>
        <item x="59"/>
        <item x="14"/>
        <item x="36"/>
        <item x="48"/>
        <item x="4"/>
        <item x="62"/>
        <item x="64"/>
        <item x="49"/>
        <item x="9"/>
        <item x="88"/>
        <item x="78"/>
        <item x="58"/>
        <item x="61"/>
        <item x="8"/>
        <item x="87"/>
        <item x="50"/>
        <item x="10"/>
        <item x="5"/>
        <item x="2"/>
        <item x="79"/>
        <item x="45"/>
        <item x="84"/>
        <item x="75"/>
        <item x="57"/>
        <item x="15"/>
        <item x="72"/>
        <item x="39"/>
        <item x="38"/>
        <item x="23"/>
        <item x="46"/>
        <item x="3"/>
        <item x="41"/>
      </items>
      <extLst>
        <ext xmlns:x14="http://schemas.microsoft.com/office/spreadsheetml/2009/9/main" uri="{2946ED86-A175-432a-8AC1-64E0C546D7DE}">
          <x14:pivotField fillDownLabels="1"/>
        </ext>
      </extLst>
    </pivotField>
    <pivotField compact="0" outline="0" showAll="0" includeNewItemsInFilter="1">
      <extLst>
        <ext xmlns:x14="http://schemas.microsoft.com/office/spreadsheetml/2009/9/main" uri="{2946ED86-A175-432a-8AC1-64E0C546D7DE}">
          <x14:pivotField fillDownLabels="1"/>
        </ext>
      </extLst>
    </pivotField>
    <pivotField compact="0" outline="0" showAll="0" includeNewItemsInFilter="1">
      <items count="7">
        <item x="2"/>
        <item x="4"/>
        <item x="5"/>
        <item x="0"/>
        <item x="1"/>
        <item x="3"/>
        <item t="default"/>
      </items>
      <extLst>
        <ext xmlns:x14="http://schemas.microsoft.com/office/spreadsheetml/2009/9/main" uri="{2946ED86-A175-432a-8AC1-64E0C546D7DE}">
          <x14:pivotField fillDownLabels="1"/>
        </ext>
      </extLst>
    </pivotField>
    <pivotField compact="0" outline="0" showAll="0" includeNewItemsInFilter="1">
      <extLst>
        <ext xmlns:x14="http://schemas.microsoft.com/office/spreadsheetml/2009/9/main" uri="{2946ED86-A175-432a-8AC1-64E0C546D7DE}">
          <x14:pivotField fillDownLabels="1"/>
        </ext>
      </extLst>
    </pivotField>
  </pivotFields>
  <rowFields count="6">
    <field x="0"/>
    <field x="5"/>
    <field x="2"/>
    <field x="3"/>
    <field x="6"/>
    <field x="7"/>
  </rowFields>
  <rowItems count="623">
    <i>
      <x/>
      <x v="198"/>
      <x v="477"/>
      <x/>
      <x v="11"/>
      <x v="19"/>
    </i>
    <i>
      <x v="1"/>
      <x v="11"/>
      <x v="475"/>
      <x v="1"/>
      <x v="11"/>
      <x v="43"/>
    </i>
    <i>
      <x v="2"/>
      <x v="162"/>
      <x v="155"/>
      <x v="2"/>
      <x v="3"/>
      <x v="76"/>
    </i>
    <i>
      <x v="3"/>
      <x v="242"/>
      <x v="476"/>
      <x v="3"/>
      <x v="11"/>
      <x v="19"/>
    </i>
    <i>
      <x v="4"/>
      <x v="250"/>
      <x v="479"/>
      <x v="1"/>
      <x v="11"/>
      <x v="43"/>
    </i>
    <i>
      <x v="5"/>
      <x v="51"/>
      <x v="184"/>
      <x v="4"/>
      <x v="3"/>
      <x v="88"/>
    </i>
    <i>
      <x v="6"/>
      <x v="316"/>
      <x v="189"/>
      <x v="5"/>
      <x v="3"/>
      <x v="62"/>
    </i>
    <i>
      <x v="7"/>
      <x v="131"/>
      <x v="178"/>
      <x v="6"/>
      <x v="3"/>
      <x v="88"/>
    </i>
    <i>
      <x v="8"/>
      <x v="185"/>
      <x v="160"/>
      <x v="7"/>
      <x v="3"/>
      <x v="75"/>
    </i>
    <i>
      <x v="9"/>
      <x v="164"/>
      <x v="162"/>
      <x v="8"/>
      <x v="3"/>
      <x v="76"/>
    </i>
    <i>
      <x v="10"/>
      <x v="105"/>
      <x v="161"/>
      <x v="9"/>
      <x v="11"/>
      <x v="19"/>
    </i>
    <i>
      <x v="11"/>
      <x v="304"/>
      <x v="163"/>
      <x v="10"/>
      <x v="2"/>
      <x v="50"/>
    </i>
    <i>
      <x v="12"/>
      <x v="99"/>
      <x v="174"/>
      <x v="11"/>
      <x v="3"/>
      <x v="75"/>
    </i>
    <i>
      <x v="13"/>
      <x v="202"/>
      <x v="164"/>
      <x v="12"/>
      <x v="11"/>
      <x v="19"/>
    </i>
    <i>
      <x v="14"/>
      <x v="202"/>
      <x v="175"/>
      <x v="12"/>
      <x v="11"/>
      <x v="19"/>
    </i>
    <i>
      <x v="15"/>
      <x v="257"/>
      <x v="183"/>
      <x v="13"/>
      <x v="3"/>
      <x v="75"/>
    </i>
    <i>
      <x v="16"/>
      <x v="326"/>
      <x v="133"/>
      <x v="14"/>
      <x v="3"/>
      <x v="75"/>
    </i>
    <i>
      <x v="17"/>
      <x v="304"/>
      <x v="134"/>
      <x v="10"/>
      <x v="2"/>
      <x v="50"/>
    </i>
    <i>
      <x v="18"/>
      <x v="334"/>
      <x v="515"/>
      <x v="15"/>
      <x v="8"/>
      <x v="88"/>
    </i>
    <i>
      <x v="19"/>
      <x v="254"/>
      <x v="135"/>
      <x v="16"/>
      <x v="3"/>
      <x v="62"/>
    </i>
    <i>
      <x v="20"/>
      <x v="335"/>
      <x v="516"/>
      <x v="17"/>
      <x v="3"/>
      <x v="88"/>
    </i>
    <i>
      <x v="21"/>
      <x v="203"/>
      <x v="332"/>
      <x v="18"/>
      <x v="7"/>
      <x v="14"/>
    </i>
    <i r="2">
      <x v="517"/>
      <x v="18"/>
      <x v="7"/>
      <x v="14"/>
    </i>
    <i>
      <x v="22"/>
      <x v="268"/>
      <x v="113"/>
      <x v="19"/>
      <x v="1"/>
      <x v="71"/>
    </i>
    <i r="2">
      <x v="518"/>
      <x v="19"/>
      <x v="1"/>
      <x v="71"/>
    </i>
    <i>
      <x v="23"/>
      <x v="251"/>
      <x v="114"/>
      <x v="20"/>
      <x v="11"/>
      <x v="19"/>
    </i>
    <i r="1">
      <x v="336"/>
      <x v="519"/>
      <x v="20"/>
      <x v="11"/>
      <x v="19"/>
    </i>
    <i>
      <x v="24"/>
      <x v="325"/>
      <x v="141"/>
      <x v="21"/>
      <x v="3"/>
      <x v="66"/>
    </i>
    <i>
      <x v="25"/>
      <x v="308"/>
      <x v="180"/>
      <x v="22"/>
      <x v="3"/>
      <x v="66"/>
    </i>
    <i>
      <x v="26"/>
      <x v="214"/>
      <x v="250"/>
      <x v="23"/>
      <x v="6"/>
      <x v="74"/>
    </i>
    <i>
      <x v="27"/>
      <x v="72"/>
      <x v="503"/>
      <x v="23"/>
      <x v="6"/>
      <x v="74"/>
    </i>
    <i>
      <x v="28"/>
      <x v="337"/>
      <x v="246"/>
      <x v="24"/>
      <x v="6"/>
      <x v="56"/>
    </i>
    <i r="2">
      <x v="520"/>
      <x v="24"/>
      <x v="6"/>
      <x v="56"/>
    </i>
    <i>
      <x v="29"/>
      <x v="12"/>
      <x v="242"/>
      <x v="25"/>
      <x v="6"/>
      <x v="13"/>
    </i>
    <i r="2">
      <x v="521"/>
      <x v="25"/>
      <x v="6"/>
      <x v="13"/>
    </i>
    <i>
      <x v="30"/>
      <x v="158"/>
      <x v="243"/>
      <x v="26"/>
      <x v="6"/>
      <x v="53"/>
    </i>
    <i>
      <x v="31"/>
      <x v="246"/>
      <x v="301"/>
      <x v="27"/>
      <x v="7"/>
      <x v="88"/>
    </i>
    <i r="2">
      <x v="522"/>
      <x v="27"/>
      <x v="7"/>
      <x v="88"/>
    </i>
    <i>
      <x v="32"/>
      <x v="134"/>
      <x v="136"/>
      <x v="22"/>
      <x v="3"/>
      <x v="66"/>
    </i>
    <i>
      <x v="33"/>
      <x v="155"/>
      <x v="397"/>
      <x v="28"/>
      <x v="9"/>
      <x v="59"/>
    </i>
    <i r="2">
      <x v="523"/>
      <x v="28"/>
      <x v="9"/>
      <x v="59"/>
    </i>
    <i>
      <x v="34"/>
      <x v="207"/>
      <x v="401"/>
      <x v="29"/>
      <x v="9"/>
      <x v="82"/>
    </i>
    <i>
      <x v="35"/>
      <x v="91"/>
      <x v="400"/>
      <x v="30"/>
      <x v="9"/>
      <x v="88"/>
    </i>
    <i>
      <x v="36"/>
      <x v="14"/>
      <x v="399"/>
      <x v="31"/>
      <x v="9"/>
      <x v="88"/>
    </i>
    <i>
      <x v="37"/>
      <x v="330"/>
      <x v="398"/>
      <x v="32"/>
      <x v="9"/>
      <x v="88"/>
    </i>
    <i>
      <x v="38"/>
      <x v="33"/>
      <x v="446"/>
      <x v="33"/>
      <x v="11"/>
      <x v="28"/>
    </i>
    <i>
      <x v="39"/>
      <x v="123"/>
      <x v="167"/>
      <x v="34"/>
      <x v="3"/>
      <x v="49"/>
    </i>
    <i>
      <x v="40"/>
      <x v="117"/>
      <x v="213"/>
      <x v="35"/>
      <x v="4"/>
      <x v="44"/>
    </i>
    <i>
      <x v="41"/>
      <x v="216"/>
      <x v="255"/>
      <x v="36"/>
      <x v="6"/>
      <x v="53"/>
    </i>
    <i>
      <x v="42"/>
      <x v="297"/>
      <x v="107"/>
      <x v="37"/>
      <x v="1"/>
      <x v="47"/>
    </i>
    <i>
      <x v="43"/>
      <x v="338"/>
      <x v="524"/>
      <x v="38"/>
      <x v="3"/>
      <x v="6"/>
    </i>
    <i>
      <x v="44"/>
      <x v="14"/>
      <x v="506"/>
      <x v="31"/>
      <x v="9"/>
      <x v="88"/>
    </i>
    <i>
      <x v="45"/>
      <x v="91"/>
      <x v="298"/>
      <x v="30"/>
      <x v="9"/>
      <x v="88"/>
    </i>
    <i>
      <x v="46"/>
      <x v="201"/>
      <x v="296"/>
      <x v="39"/>
      <x v="7"/>
      <x v="31"/>
    </i>
    <i>
      <x v="47"/>
      <x v="330"/>
      <x v="295"/>
      <x v="32"/>
      <x v="9"/>
      <x v="88"/>
    </i>
    <i>
      <x v="48"/>
      <x v="40"/>
      <x v="469"/>
      <x v="9"/>
      <x v="11"/>
      <x v="19"/>
    </i>
    <i>
      <x v="49"/>
      <x v="324"/>
      <x v="470"/>
      <x v="40"/>
      <x v="3"/>
      <x v="6"/>
    </i>
    <i>
      <x v="50"/>
      <x v="98"/>
      <x v="468"/>
      <x v="41"/>
      <x v="3"/>
      <x v="2"/>
    </i>
    <i>
      <x v="51"/>
      <x v="40"/>
      <x v="465"/>
      <x v="9"/>
      <x v="11"/>
      <x v="19"/>
    </i>
    <i>
      <x v="52"/>
      <x v="3"/>
      <x v="466"/>
      <x v="42"/>
      <x v="11"/>
      <x v="19"/>
    </i>
    <i>
      <x v="53"/>
      <x v="324"/>
      <x v="467"/>
      <x v="40"/>
      <x v="3"/>
      <x v="6"/>
    </i>
    <i>
      <x v="54"/>
      <x v="105"/>
      <x v="464"/>
      <x v="9"/>
      <x v="11"/>
      <x v="19"/>
    </i>
    <i>
      <x v="55"/>
      <x v="321"/>
      <x v="289"/>
      <x v="43"/>
      <x v="8"/>
      <x v="88"/>
    </i>
    <i>
      <x v="56"/>
      <x v="201"/>
      <x v="286"/>
      <x v="39"/>
      <x v="7"/>
      <x v="31"/>
    </i>
    <i>
      <x v="57"/>
      <x v="330"/>
      <x v="285"/>
      <x v="32"/>
      <x v="9"/>
      <x v="88"/>
    </i>
    <i>
      <x v="58"/>
      <x v="91"/>
      <x v="288"/>
      <x v="30"/>
      <x v="9"/>
      <x v="88"/>
    </i>
    <i>
      <x v="59"/>
      <x v="14"/>
      <x v="287"/>
      <x v="31"/>
      <x v="9"/>
      <x v="88"/>
    </i>
    <i>
      <x v="60"/>
      <x v="2"/>
      <x v="525"/>
      <x v="44"/>
      <x v="8"/>
      <x v="88"/>
    </i>
    <i>
      <x v="61"/>
      <x v="196"/>
      <x v="284"/>
      <x v="45"/>
      <x v="10"/>
      <x v="86"/>
    </i>
    <i>
      <x v="62"/>
      <x v="187"/>
      <x v="290"/>
      <x v="46"/>
      <x v="10"/>
      <x v="55"/>
    </i>
    <i>
      <x v="63"/>
      <x v="339"/>
      <x v="526"/>
      <x v="47"/>
      <x v="9"/>
      <x v="55"/>
    </i>
    <i>
      <x v="64"/>
      <x v="340"/>
      <x v="527"/>
      <x v="48"/>
      <x v="8"/>
      <x v="8"/>
    </i>
    <i>
      <x v="65"/>
      <x v="211"/>
      <x v="291"/>
      <x v="49"/>
      <x v="9"/>
      <x v="82"/>
    </i>
    <i>
      <x v="66"/>
      <x v="40"/>
      <x v="441"/>
      <x v="9"/>
      <x v="11"/>
      <x v="19"/>
    </i>
    <i>
      <x v="67"/>
      <x v="103"/>
      <x v="443"/>
      <x v="50"/>
      <x v="11"/>
      <x v="19"/>
    </i>
    <i>
      <x v="68"/>
      <x v="3"/>
      <x v="442"/>
      <x v="42"/>
      <x v="11"/>
      <x v="43"/>
    </i>
    <i>
      <x v="69"/>
      <x v="324"/>
      <x v="444"/>
      <x v="40"/>
      <x v="3"/>
      <x v="6"/>
    </i>
    <i>
      <x v="70"/>
      <x v="23"/>
      <x v="445"/>
      <x v="38"/>
      <x v="3"/>
      <x v="6"/>
    </i>
    <i>
      <x v="71"/>
      <x v="14"/>
      <x v="297"/>
      <x v="31"/>
      <x v="9"/>
      <x v="88"/>
    </i>
    <i>
      <x v="72"/>
      <x v="23"/>
      <x v="471"/>
      <x v="38"/>
      <x v="3"/>
      <x v="6"/>
    </i>
    <i>
      <x v="73"/>
      <x v="260"/>
      <x v="151"/>
      <x v="51"/>
      <x v="3"/>
      <x v="75"/>
    </i>
    <i>
      <x v="74"/>
      <x v="146"/>
      <x v="139"/>
      <x v="52"/>
      <x v="3"/>
      <x v="75"/>
    </i>
    <i r="2">
      <x v="528"/>
      <x v="52"/>
      <x v="3"/>
      <x v="75"/>
    </i>
    <i>
      <x v="75"/>
      <x v="215"/>
      <x v="365"/>
      <x v="53"/>
      <x v="9"/>
      <x v="55"/>
    </i>
    <i>
      <x v="76"/>
      <x v="144"/>
      <x v="478"/>
      <x v="54"/>
      <x v="3"/>
      <x v="88"/>
    </i>
    <i>
      <x v="77"/>
      <x v="333"/>
      <x v="156"/>
      <x v="55"/>
      <x v="3"/>
      <x v="49"/>
    </i>
    <i>
      <x v="78"/>
      <x v="247"/>
      <x v="217"/>
      <x v="56"/>
      <x v="4"/>
      <x v="17"/>
    </i>
    <i>
      <x v="79"/>
      <x v="27"/>
      <x v="473"/>
      <x v="57"/>
      <x v="3"/>
      <x v="49"/>
    </i>
    <i>
      <x v="80"/>
      <x v="341"/>
      <x v="474"/>
      <x v="9"/>
      <x v="11"/>
      <x v="19"/>
    </i>
    <i>
      <x v="81"/>
      <x v="174"/>
      <x v="143"/>
      <x v="58"/>
      <x v="3"/>
      <x v="66"/>
    </i>
    <i>
      <x v="82"/>
      <x v="236"/>
      <x v="209"/>
      <x v="59"/>
      <x v="4"/>
      <x v="30"/>
    </i>
    <i>
      <x v="83"/>
      <x v="147"/>
      <x v="195"/>
      <x v="60"/>
      <x v="3"/>
      <x v="66"/>
    </i>
    <i>
      <x v="84"/>
      <x v="128"/>
      <x v="194"/>
      <x v="61"/>
      <x v="3"/>
      <x v="88"/>
    </i>
    <i>
      <x v="85"/>
      <x v="103"/>
      <x v="454"/>
      <x v="50"/>
      <x v="11"/>
      <x v="19"/>
    </i>
    <i>
      <x v="86"/>
      <x v="3"/>
      <x v="453"/>
      <x v="42"/>
      <x v="11"/>
      <x v="43"/>
    </i>
    <i>
      <x v="87"/>
      <x v="105"/>
      <x v="452"/>
      <x v="9"/>
      <x v="11"/>
      <x v="19"/>
    </i>
    <i>
      <x v="88"/>
      <x v="317"/>
      <x v="258"/>
      <x v="62"/>
      <x v="6"/>
      <x v="45"/>
    </i>
    <i>
      <x v="89"/>
      <x v="327"/>
      <x v="279"/>
      <x v="63"/>
      <x v="7"/>
      <x v="56"/>
    </i>
    <i>
      <x v="90"/>
      <x v="35"/>
      <x v="144"/>
      <x v="64"/>
      <x v="3"/>
      <x v="49"/>
    </i>
    <i>
      <x v="91"/>
      <x v="27"/>
      <x v="171"/>
      <x v="57"/>
      <x v="3"/>
      <x v="49"/>
    </i>
    <i>
      <x v="92"/>
      <x v="342"/>
      <x v="529"/>
      <x v="65"/>
      <x v="9"/>
      <x v="7"/>
    </i>
    <i>
      <x v="93"/>
      <x v="84"/>
      <x v="358"/>
      <x v="66"/>
      <x v="8"/>
      <x v="39"/>
    </i>
    <i>
      <x v="94"/>
      <x v="81"/>
      <x v="244"/>
      <x v="67"/>
      <x v="6"/>
      <x v="13"/>
    </i>
    <i>
      <x v="95"/>
      <x v="205"/>
      <x v="126"/>
      <x v="68"/>
      <x v="2"/>
      <x v="22"/>
    </i>
    <i>
      <x v="96"/>
      <x v="100"/>
      <x v="128"/>
      <x v="11"/>
      <x v="3"/>
      <x v="75"/>
    </i>
    <i>
      <x v="97"/>
      <x v="311"/>
      <x v="127"/>
      <x v="69"/>
      <x v="3"/>
      <x v="76"/>
    </i>
    <i>
      <x v="98"/>
      <x v="270"/>
      <x v="356"/>
      <x v="70"/>
      <x v="8"/>
      <x v="35"/>
    </i>
    <i>
      <x v="99"/>
      <x v="204"/>
      <x v="330"/>
      <x v="71"/>
      <x v="7"/>
      <x v="31"/>
    </i>
    <i>
      <x v="100"/>
      <x v="285"/>
      <x v="413"/>
      <x v="72"/>
      <x v="10"/>
      <x v="37"/>
    </i>
    <i>
      <x v="101"/>
      <x v="133"/>
      <x v="254"/>
      <x v="73"/>
      <x v="6"/>
      <x v="20"/>
    </i>
    <i>
      <x v="102"/>
      <x v="267"/>
      <x v="104"/>
      <x v="74"/>
      <x v="1"/>
      <x v="26"/>
    </i>
    <i r="2">
      <x v="530"/>
      <x v="74"/>
      <x v="1"/>
      <x v="26"/>
    </i>
    <i>
      <x v="103"/>
      <x v="271"/>
      <x v="83"/>
      <x v="75"/>
      <x v="1"/>
      <x v="60"/>
    </i>
    <i>
      <x v="104"/>
      <x v="343"/>
      <x v="531"/>
      <x v="76"/>
      <x v="1"/>
      <x v="47"/>
    </i>
    <i>
      <x v="105"/>
      <x v="153"/>
      <x/>
      <x v="77"/>
      <x/>
      <x v="4"/>
    </i>
    <i>
      <x v="106"/>
      <x v="54"/>
      <x v="91"/>
      <x v="78"/>
      <x v="1"/>
      <x v="88"/>
    </i>
    <i>
      <x v="107"/>
      <x v="120"/>
      <x v="74"/>
      <x v="79"/>
      <x v="1"/>
      <x v="85"/>
    </i>
    <i r="2">
      <x v="532"/>
      <x v="79"/>
      <x v="1"/>
      <x v="85"/>
    </i>
    <i>
      <x v="108"/>
      <x v="69"/>
      <x v="482"/>
      <x v="80"/>
      <x v="1"/>
      <x v="84"/>
    </i>
    <i>
      <x v="109"/>
      <x v="80"/>
      <x v="105"/>
      <x v="81"/>
      <x v="1"/>
      <x v="54"/>
    </i>
    <i r="2">
      <x v="533"/>
      <x v="81"/>
      <x v="1"/>
      <x v="54"/>
    </i>
    <i>
      <x v="110"/>
      <x v="69"/>
      <x v="106"/>
      <x v="80"/>
      <x v="1"/>
      <x v="84"/>
    </i>
    <i r="2">
      <x v="534"/>
      <x v="80"/>
      <x v="1"/>
      <x v="84"/>
    </i>
    <i>
      <x v="111"/>
      <x v="30"/>
      <x v="84"/>
      <x v="82"/>
      <x v="1"/>
      <x v="26"/>
    </i>
    <i r="2">
      <x v="535"/>
      <x v="82"/>
      <x v="1"/>
      <x v="26"/>
    </i>
    <i>
      <x v="112"/>
      <x v="314"/>
      <x v="85"/>
      <x v="83"/>
      <x v="1"/>
      <x v="54"/>
    </i>
    <i r="2">
      <x v="536"/>
      <x v="83"/>
      <x v="1"/>
      <x v="88"/>
    </i>
    <i>
      <x v="113"/>
      <x v="115"/>
      <x v="108"/>
      <x v="84"/>
      <x v="1"/>
      <x v="88"/>
    </i>
    <i>
      <x v="114"/>
      <x v="343"/>
      <x v="537"/>
      <x v="76"/>
      <x v="1"/>
      <x v="26"/>
    </i>
    <i>
      <x v="115"/>
      <x v="256"/>
      <x v="70"/>
      <x v="85"/>
      <x v="1"/>
      <x v="85"/>
    </i>
    <i r="1">
      <x v="344"/>
      <x v="538"/>
      <x v="85"/>
      <x v="1"/>
      <x v="85"/>
    </i>
    <i>
      <x v="116"/>
      <x v="345"/>
      <x v="539"/>
      <x v="86"/>
      <x v="1"/>
      <x v="89"/>
    </i>
    <i>
      <x v="117"/>
      <x v="183"/>
      <x v="396"/>
      <x v="87"/>
      <x v="10"/>
      <x v="8"/>
    </i>
    <i>
      <x v="118"/>
      <x v="229"/>
      <x v="292"/>
      <x v="88"/>
      <x v="9"/>
      <x v="42"/>
    </i>
    <i>
      <x v="119"/>
      <x v="187"/>
      <x v="293"/>
      <x v="46"/>
      <x v="9"/>
      <x v="55"/>
    </i>
    <i>
      <x v="120"/>
      <x v="211"/>
      <x v="294"/>
      <x v="49"/>
      <x v="9"/>
      <x v="82"/>
    </i>
    <i>
      <x v="121"/>
      <x v="233"/>
      <x v="314"/>
      <x v="89"/>
      <x v="7"/>
      <x v="31"/>
    </i>
    <i>
      <x v="122"/>
      <x v="273"/>
      <x v="313"/>
      <x v="90"/>
      <x v="7"/>
      <x v="31"/>
    </i>
    <i>
      <x v="123"/>
      <x v="187"/>
      <x v="317"/>
      <x v="46"/>
      <x v="9"/>
      <x v="55"/>
    </i>
    <i>
      <x v="124"/>
      <x v="229"/>
      <x v="316"/>
      <x v="88"/>
      <x v="9"/>
      <x v="86"/>
    </i>
    <i>
      <x v="125"/>
      <x v="75"/>
      <x v="315"/>
      <x v="91"/>
      <x v="10"/>
      <x v="88"/>
    </i>
    <i>
      <x v="126"/>
      <x v="59"/>
      <x v="324"/>
      <x v="92"/>
      <x v="7"/>
      <x v="88"/>
    </i>
    <i r="2">
      <x v="540"/>
      <x v="92"/>
      <x v="7"/>
      <x v="88"/>
    </i>
    <i>
      <x v="127"/>
      <x v="232"/>
      <x v="326"/>
      <x v="89"/>
      <x v="7"/>
      <x v="31"/>
    </i>
    <i>
      <x v="128"/>
      <x v="273"/>
      <x v="325"/>
      <x v="90"/>
      <x v="7"/>
      <x v="14"/>
    </i>
    <i>
      <x v="129"/>
      <x v="201"/>
      <x v="507"/>
      <x v="39"/>
      <x v="7"/>
      <x v="31"/>
    </i>
    <i>
      <x v="130"/>
      <x v="330"/>
      <x v="327"/>
      <x v="32"/>
      <x v="9"/>
      <x v="86"/>
    </i>
    <i>
      <x v="131"/>
      <x v="273"/>
      <x v="268"/>
      <x v="90"/>
      <x v="7"/>
      <x v="31"/>
    </i>
    <i r="2">
      <x v="541"/>
      <x v="90"/>
      <x v="7"/>
      <x v="31"/>
    </i>
    <i>
      <x v="132"/>
      <x v="232"/>
      <x v="269"/>
      <x v="89"/>
      <x v="7"/>
      <x v="31"/>
    </i>
    <i>
      <x v="133"/>
      <x v="232"/>
      <x v="505"/>
      <x v="89"/>
      <x v="7"/>
      <x v="31"/>
    </i>
    <i>
      <x v="134"/>
      <x v="172"/>
      <x v="366"/>
      <x v="93"/>
      <x v="9"/>
      <x v="36"/>
    </i>
    <i>
      <x v="135"/>
      <x v="235"/>
      <x v="415"/>
      <x v="94"/>
      <x v="10"/>
      <x v="37"/>
    </i>
    <i>
      <x v="136"/>
      <x v="235"/>
      <x v="514"/>
      <x v="94"/>
      <x v="10"/>
      <x v="37"/>
    </i>
    <i>
      <x v="137"/>
      <x v="293"/>
      <x v="429"/>
      <x v="95"/>
      <x v="10"/>
      <x v="37"/>
    </i>
    <i r="2">
      <x v="542"/>
      <x v="95"/>
      <x v="10"/>
      <x v="2"/>
    </i>
    <i>
      <x v="138"/>
      <x v="284"/>
      <x v="145"/>
      <x v="58"/>
      <x v="3"/>
      <x v="66"/>
    </i>
    <i>
      <x v="139"/>
      <x v="346"/>
      <x v="543"/>
      <x v="96"/>
      <x v="11"/>
      <x v="19"/>
    </i>
    <i>
      <x v="140"/>
      <x v="66"/>
      <x v="333"/>
      <x v="97"/>
      <x v="7"/>
      <x v="38"/>
    </i>
    <i>
      <x v="141"/>
      <x v="97"/>
      <x v="303"/>
      <x v="98"/>
      <x v="7"/>
      <x v="38"/>
    </i>
    <i>
      <x v="142"/>
      <x v="109"/>
      <x v="111"/>
      <x v="99"/>
      <x v="1"/>
      <x v="88"/>
    </i>
    <i>
      <x v="143"/>
      <x v="290"/>
      <x v="112"/>
      <x v="100"/>
      <x v="1"/>
      <x v="88"/>
    </i>
    <i>
      <x v="144"/>
      <x v="202"/>
      <x v="147"/>
      <x v="12"/>
      <x v="11"/>
      <x v="19"/>
    </i>
    <i>
      <x v="145"/>
      <x v="78"/>
      <x v="402"/>
      <x v="93"/>
      <x v="9"/>
      <x v="36"/>
    </i>
    <i>
      <x v="146"/>
      <x v="347"/>
      <x v="544"/>
      <x v="101"/>
      <x v="10"/>
      <x v="78"/>
    </i>
    <i>
      <x v="147"/>
      <x v="173"/>
      <x v="414"/>
      <x v="102"/>
      <x v="10"/>
      <x v="78"/>
    </i>
    <i>
      <x v="148"/>
      <x v="191"/>
      <x v="392"/>
      <x v="103"/>
      <x v="9"/>
      <x v="59"/>
    </i>
    <i>
      <x v="149"/>
      <x v="225"/>
      <x v="32"/>
      <x v="104"/>
      <x/>
      <x v="87"/>
    </i>
    <i r="1">
      <x v="348"/>
      <x v="545"/>
      <x v="104"/>
      <x/>
      <x v="87"/>
    </i>
    <i>
      <x v="150"/>
      <x v="8"/>
      <x v="409"/>
      <x v="105"/>
      <x v="9"/>
      <x v="82"/>
    </i>
    <i>
      <x v="151"/>
      <x v="222"/>
      <x v="170"/>
      <x v="106"/>
      <x v="3"/>
      <x v="88"/>
    </i>
    <i>
      <x v="152"/>
      <x v="106"/>
      <x v="458"/>
      <x v="9"/>
      <x v="11"/>
      <x v="19"/>
    </i>
    <i>
      <x v="153"/>
      <x v="265"/>
      <x v="462"/>
      <x v="9"/>
      <x v="11"/>
      <x v="19"/>
    </i>
    <i>
      <x v="154"/>
      <x v="92"/>
      <x v="460"/>
      <x v="107"/>
      <x v="2"/>
      <x v="46"/>
    </i>
    <i>
      <x v="155"/>
      <x v="103"/>
      <x v="459"/>
      <x v="50"/>
      <x v="11"/>
      <x v="19"/>
    </i>
    <i>
      <x v="156"/>
      <x v="231"/>
      <x v="463"/>
      <x v="38"/>
      <x v="11"/>
      <x v="6"/>
    </i>
    <i>
      <x v="157"/>
      <x v="1"/>
      <x v="461"/>
      <x v="42"/>
      <x v="11"/>
      <x v="43"/>
    </i>
    <i>
      <x v="158"/>
      <x v="106"/>
      <x v="457"/>
      <x v="9"/>
      <x v="11"/>
      <x v="19"/>
    </i>
    <i>
      <x v="159"/>
      <x v="306"/>
      <x v="53"/>
      <x v="108"/>
      <x v="1"/>
      <x v="60"/>
    </i>
    <i>
      <x v="160"/>
      <x v="106"/>
      <x v="56"/>
      <x v="9"/>
      <x v="11"/>
      <x v="19"/>
    </i>
    <i>
      <x v="161"/>
      <x v="40"/>
      <x v="55"/>
      <x v="9"/>
      <x v="11"/>
      <x v="19"/>
    </i>
    <i>
      <x v="162"/>
      <x v="103"/>
      <x v="58"/>
      <x v="50"/>
      <x v="11"/>
      <x v="19"/>
    </i>
    <i>
      <x v="163"/>
      <x v="3"/>
      <x v="57"/>
      <x v="42"/>
      <x v="11"/>
      <x v="43"/>
    </i>
    <i>
      <x v="164"/>
      <x v="265"/>
      <x v="61"/>
      <x v="9"/>
      <x v="11"/>
      <x v="19"/>
    </i>
    <i>
      <x v="165"/>
      <x v="92"/>
      <x v="59"/>
      <x v="107"/>
      <x v="2"/>
      <x v="46"/>
    </i>
    <i>
      <x v="166"/>
      <x v="231"/>
      <x v="62"/>
      <x v="38"/>
      <x v="11"/>
      <x v="6"/>
    </i>
    <i>
      <x v="167"/>
      <x v="1"/>
      <x v="60"/>
      <x v="42"/>
      <x v="11"/>
      <x v="43"/>
    </i>
    <i>
      <x v="168"/>
      <x v="105"/>
      <x v="54"/>
      <x v="9"/>
      <x v="11"/>
      <x v="19"/>
    </i>
    <i>
      <x v="169"/>
      <x v="21"/>
      <x v="1"/>
      <x v="109"/>
      <x/>
      <x v="61"/>
    </i>
    <i>
      <x v="170"/>
      <x v="105"/>
      <x v="447"/>
      <x v="9"/>
      <x v="11"/>
      <x v="19"/>
    </i>
    <i>
      <x v="171"/>
      <x v="265"/>
      <x v="451"/>
      <x v="9"/>
      <x v="11"/>
      <x v="19"/>
    </i>
    <i>
      <x v="172"/>
      <x v="92"/>
      <x v="450"/>
      <x v="107"/>
      <x v="2"/>
      <x v="46"/>
    </i>
    <i>
      <x v="173"/>
      <x v="103"/>
      <x v="449"/>
      <x v="50"/>
      <x v="11"/>
      <x v="19"/>
    </i>
    <i>
      <x v="174"/>
      <x v="3"/>
      <x v="448"/>
      <x v="42"/>
      <x v="11"/>
      <x v="43"/>
    </i>
    <i>
      <x v="175"/>
      <x v="169"/>
      <x v="148"/>
      <x v="21"/>
      <x v="3"/>
      <x v="66"/>
    </i>
    <i>
      <x v="176"/>
      <x v="26"/>
      <x v="149"/>
      <x v="57"/>
      <x v="3"/>
      <x v="49"/>
    </i>
    <i>
      <x v="177"/>
      <x v="105"/>
      <x v="150"/>
      <x v="9"/>
      <x v="11"/>
      <x v="19"/>
    </i>
    <i>
      <x v="178"/>
      <x v="262"/>
      <x v="343"/>
      <x v="110"/>
      <x v="8"/>
      <x v="65"/>
    </i>
    <i>
      <x v="179"/>
      <x v="167"/>
      <x v="344"/>
      <x v="111"/>
      <x v="9"/>
      <x v="7"/>
    </i>
    <i>
      <x v="180"/>
      <x v="227"/>
      <x v="345"/>
      <x v="112"/>
      <x v="8"/>
      <x v="39"/>
    </i>
    <i>
      <x v="181"/>
      <x v="349"/>
      <x v="546"/>
      <x v="113"/>
      <x v="10"/>
      <x v="62"/>
    </i>
    <i>
      <x v="182"/>
      <x v="350"/>
      <x v="547"/>
      <x v="114"/>
      <x v="11"/>
      <x v="43"/>
    </i>
    <i>
      <x v="183"/>
      <x v="125"/>
      <x v="97"/>
      <x v="99"/>
      <x v="1"/>
      <x v="88"/>
    </i>
    <i>
      <x v="184"/>
      <x v="351"/>
      <x v="548"/>
      <x v="115"/>
      <x v="3"/>
      <x v="88"/>
    </i>
    <i>
      <x v="185"/>
      <x v="209"/>
      <x v="75"/>
      <x v="116"/>
      <x v="1"/>
      <x v="73"/>
    </i>
    <i>
      <x v="186"/>
      <x v="281"/>
      <x v="318"/>
      <x v="117"/>
      <x v="7"/>
      <x v="31"/>
    </i>
    <i>
      <x v="187"/>
      <x v="192"/>
      <x v="319"/>
      <x v="18"/>
      <x v="7"/>
      <x v="14"/>
    </i>
    <i>
      <x v="188"/>
      <x v="58"/>
      <x v="354"/>
      <x v="118"/>
      <x v="8"/>
      <x v="42"/>
    </i>
    <i r="2">
      <x v="549"/>
      <x v="118"/>
      <x v="8"/>
      <x v="42"/>
    </i>
    <i>
      <x v="189"/>
      <x v="309"/>
      <x v="347"/>
      <x v="119"/>
      <x v="8"/>
      <x v="3"/>
    </i>
    <i>
      <x v="190"/>
      <x v="192"/>
      <x v="348"/>
      <x v="18"/>
      <x v="7"/>
      <x v="14"/>
    </i>
    <i>
      <x v="191"/>
      <x v="320"/>
      <x v="490"/>
      <x v="120"/>
      <x v="2"/>
      <x v="22"/>
    </i>
    <i r="2">
      <x v="550"/>
      <x v="120"/>
      <x v="2"/>
      <x v="22"/>
    </i>
    <i r="2">
      <x v="551"/>
      <x v="120"/>
      <x v="2"/>
      <x v="22"/>
    </i>
    <i r="2">
      <x v="552"/>
      <x v="120"/>
      <x v="2"/>
      <x v="22"/>
    </i>
    <i>
      <x v="192"/>
      <x v="350"/>
      <x v="554"/>
      <x v="114"/>
      <x v="11"/>
      <x v="43"/>
    </i>
    <i r="1">
      <x v="352"/>
      <x v="553"/>
      <x v="114"/>
      <x v="11"/>
      <x v="43"/>
    </i>
    <i>
      <x v="193"/>
      <x v="350"/>
      <x v="555"/>
      <x v="114"/>
      <x v="11"/>
      <x v="43"/>
    </i>
    <i>
      <x v="194"/>
      <x v="62"/>
      <x v="496"/>
      <x v="121"/>
      <x v="3"/>
      <x v="76"/>
    </i>
    <i r="2">
      <x v="556"/>
      <x v="121"/>
      <x v="3"/>
      <x v="75"/>
    </i>
    <i>
      <x v="195"/>
      <x v="76"/>
      <x v="500"/>
      <x v="122"/>
      <x v="10"/>
      <x v="8"/>
    </i>
    <i>
      <x v="196"/>
      <x v="301"/>
      <x v="494"/>
      <x v="13"/>
      <x v="3"/>
      <x v="75"/>
    </i>
    <i r="2">
      <x v="557"/>
      <x v="13"/>
      <x v="3"/>
      <x v="75"/>
    </i>
    <i r="2">
      <x v="558"/>
      <x v="13"/>
      <x v="3"/>
      <x v="75"/>
    </i>
    <i r="2">
      <x v="559"/>
      <x v="13"/>
      <x v="3"/>
      <x v="75"/>
    </i>
    <i>
      <x v="197"/>
      <x v="305"/>
      <x v="491"/>
      <x v="123"/>
      <x v="2"/>
      <x v="50"/>
    </i>
    <i r="2">
      <x v="560"/>
      <x v="123"/>
      <x v="2"/>
      <x v="50"/>
    </i>
    <i r="2">
      <x v="561"/>
      <x v="123"/>
      <x v="2"/>
      <x v="50"/>
    </i>
    <i>
      <x v="198"/>
      <x v="295"/>
      <x v="562"/>
      <x v="10"/>
      <x v="2"/>
      <x v="50"/>
    </i>
    <i r="1">
      <x v="296"/>
      <x v="495"/>
      <x v="10"/>
      <x v="2"/>
      <x v="50"/>
    </i>
    <i r="2">
      <x v="563"/>
      <x v="10"/>
      <x v="2"/>
      <x v="50"/>
    </i>
    <i>
      <x v="199"/>
      <x v="103"/>
      <x v="493"/>
      <x v="50"/>
      <x v="11"/>
      <x v="19"/>
    </i>
    <i>
      <x v="200"/>
      <x v="38"/>
      <x v="492"/>
      <x v="124"/>
      <x v="3"/>
      <x v="76"/>
    </i>
    <i r="2">
      <x v="564"/>
      <x v="124"/>
      <x v="3"/>
      <x v="76"/>
    </i>
    <i r="2">
      <x v="565"/>
      <x v="124"/>
      <x v="3"/>
      <x v="76"/>
    </i>
    <i r="2">
      <x v="566"/>
      <x v="124"/>
      <x v="3"/>
      <x v="76"/>
    </i>
    <i>
      <x v="201"/>
      <x v="164"/>
      <x v="498"/>
      <x v="8"/>
      <x v="3"/>
      <x v="76"/>
    </i>
    <i>
      <x v="202"/>
      <x v="32"/>
      <x v="497"/>
      <x v="58"/>
      <x v="2"/>
      <x v="22"/>
    </i>
    <i>
      <x v="203"/>
      <x v="202"/>
      <x v="499"/>
      <x v="12"/>
      <x v="11"/>
      <x v="19"/>
    </i>
    <i>
      <x v="204"/>
      <x v="160"/>
      <x v="341"/>
      <x v="125"/>
      <x v="8"/>
      <x v="65"/>
    </i>
    <i>
      <x v="205"/>
      <x v="353"/>
      <x v="567"/>
      <x v="126"/>
      <x v="10"/>
      <x v="62"/>
    </i>
    <i>
      <x v="206"/>
      <x v="189"/>
      <x v="73"/>
      <x v="76"/>
      <x v="1"/>
      <x v="47"/>
    </i>
    <i>
      <x v="207"/>
      <x v="252"/>
      <x v="320"/>
      <x v="127"/>
      <x v="7"/>
      <x v="38"/>
    </i>
    <i>
      <x v="208"/>
      <x v="194"/>
      <x v="484"/>
      <x v="68"/>
      <x v="2"/>
      <x v="22"/>
    </i>
    <i r="2">
      <x v="568"/>
      <x v="68"/>
      <x v="2"/>
      <x v="22"/>
    </i>
    <i>
      <x v="209"/>
      <x v="311"/>
      <x v="485"/>
      <x v="69"/>
      <x v="3"/>
      <x v="76"/>
    </i>
    <i>
      <x v="210"/>
      <x v="295"/>
      <x v="489"/>
      <x v="10"/>
      <x v="2"/>
      <x v="50"/>
    </i>
    <i>
      <x v="211"/>
      <x v="38"/>
      <x v="487"/>
      <x v="124"/>
      <x v="3"/>
      <x v="76"/>
    </i>
    <i>
      <x v="212"/>
      <x v="100"/>
      <x v="486"/>
      <x v="11"/>
      <x v="3"/>
      <x v="75"/>
    </i>
    <i>
      <x v="213"/>
      <x v="164"/>
      <x v="488"/>
      <x v="8"/>
      <x v="3"/>
      <x v="76"/>
    </i>
    <i>
      <x v="214"/>
      <x v="249"/>
      <x v="72"/>
      <x v="128"/>
      <x v="1"/>
      <x v="47"/>
    </i>
    <i r="2">
      <x v="569"/>
      <x v="128"/>
      <x v="1"/>
      <x v="47"/>
    </i>
    <i>
      <x v="215"/>
      <x v="55"/>
      <x v="350"/>
      <x v="129"/>
      <x v="8"/>
      <x v="9"/>
    </i>
    <i>
      <x v="216"/>
      <x v="192"/>
      <x v="351"/>
      <x v="18"/>
      <x v="7"/>
      <x v="14"/>
    </i>
    <i>
      <x v="217"/>
      <x v="111"/>
      <x v="33"/>
      <x v="130"/>
      <x/>
      <x v="88"/>
    </i>
    <i>
      <x v="218"/>
      <x v="9"/>
      <x v="360"/>
      <x v="131"/>
      <x v="9"/>
      <x v="88"/>
    </i>
    <i>
      <x v="219"/>
      <x v="18"/>
      <x v="302"/>
      <x v="132"/>
      <x v="7"/>
      <x v="34"/>
    </i>
    <i>
      <x v="220"/>
      <x v="228"/>
      <x v="361"/>
      <x v="133"/>
      <x v="9"/>
      <x v="51"/>
    </i>
    <i>
      <x v="221"/>
      <x v="91"/>
      <x v="364"/>
      <x v="30"/>
      <x v="9"/>
      <x v="88"/>
    </i>
    <i>
      <x v="222"/>
      <x v="330"/>
      <x v="362"/>
      <x v="32"/>
      <x v="9"/>
      <x v="88"/>
    </i>
    <i>
      <x v="223"/>
      <x v="14"/>
      <x v="363"/>
      <x v="31"/>
      <x v="9"/>
      <x v="88"/>
    </i>
    <i>
      <x v="224"/>
      <x v="91"/>
      <x v="406"/>
      <x v="30"/>
      <x v="9"/>
      <x v="88"/>
    </i>
    <i>
      <x v="225"/>
      <x v="14"/>
      <x v="405"/>
      <x v="31"/>
      <x v="9"/>
      <x v="88"/>
    </i>
    <i>
      <x v="226"/>
      <x v="354"/>
      <x v="403"/>
      <x v="134"/>
      <x v="9"/>
      <x v="88"/>
    </i>
    <i>
      <x v="227"/>
      <x v="330"/>
      <x v="404"/>
      <x v="32"/>
      <x v="9"/>
      <x v="88"/>
    </i>
    <i>
      <x v="228"/>
      <x v="178"/>
      <x v="283"/>
      <x v="135"/>
      <x v="7"/>
      <x v="29"/>
    </i>
    <i>
      <x v="229"/>
      <x v="138"/>
      <x v="328"/>
      <x v="136"/>
      <x v="7"/>
      <x v="29"/>
    </i>
    <i>
      <x v="230"/>
      <x v="34"/>
      <x v="239"/>
      <x v="137"/>
      <x v="6"/>
      <x v="13"/>
    </i>
    <i>
      <x v="231"/>
      <x v="16"/>
      <x v="261"/>
      <x v="138"/>
      <x v="7"/>
      <x v="10"/>
    </i>
    <i r="2">
      <x v="570"/>
      <x v="138"/>
      <x v="7"/>
      <x v="10"/>
    </i>
    <i>
      <x v="232"/>
      <x v="291"/>
      <x v="262"/>
      <x v="139"/>
      <x v="7"/>
      <x v="81"/>
    </i>
    <i>
      <x v="233"/>
      <x v="188"/>
      <x v="264"/>
      <x v="140"/>
      <x v="7"/>
      <x v="10"/>
    </i>
    <i>
      <x v="234"/>
      <x v="170"/>
      <x v="323"/>
      <x v="141"/>
      <x v="7"/>
      <x v="42"/>
    </i>
    <i>
      <x v="235"/>
      <x v="328"/>
      <x v="240"/>
      <x v="142"/>
      <x v="6"/>
      <x v="56"/>
    </i>
    <i>
      <x v="236"/>
      <x v="186"/>
      <x v="267"/>
      <x v="143"/>
      <x v="7"/>
      <x v="10"/>
    </i>
    <i>
      <x v="237"/>
      <x v="137"/>
      <x v="277"/>
      <x v="144"/>
      <x v="7"/>
      <x v="10"/>
    </i>
    <i>
      <x v="238"/>
      <x v="121"/>
      <x v="241"/>
      <x v="145"/>
      <x v="6"/>
      <x v="53"/>
    </i>
    <i>
      <x v="239"/>
      <x v="32"/>
      <x v="65"/>
      <x v="58"/>
      <x v="3"/>
      <x v="66"/>
    </i>
    <i>
      <x v="240"/>
      <x v="311"/>
      <x v="63"/>
      <x v="69"/>
      <x v="3"/>
      <x v="76"/>
    </i>
    <i>
      <x v="241"/>
      <x v="202"/>
      <x v="66"/>
      <x v="12"/>
      <x v="11"/>
      <x v="19"/>
    </i>
    <i>
      <x v="242"/>
      <x v="100"/>
      <x v="64"/>
      <x v="11"/>
      <x v="3"/>
      <x v="75"/>
    </i>
    <i>
      <x v="243"/>
      <x v="52"/>
      <x v="266"/>
      <x v="146"/>
      <x v="7"/>
      <x v="29"/>
    </i>
    <i>
      <x v="244"/>
      <x v="206"/>
      <x v="129"/>
      <x v="147"/>
      <x v="2"/>
      <x v="69"/>
    </i>
    <i r="2">
      <x v="571"/>
      <x v="147"/>
      <x v="2"/>
      <x v="69"/>
    </i>
    <i>
      <x v="245"/>
      <x v="199"/>
      <x v="207"/>
      <x v="148"/>
      <x v="4"/>
      <x v="58"/>
    </i>
    <i>
      <x v="246"/>
      <x v="179"/>
      <x v="359"/>
      <x v="149"/>
      <x v="9"/>
      <x v="36"/>
    </i>
    <i r="2">
      <x v="572"/>
      <x v="149"/>
      <x v="9"/>
      <x v="36"/>
    </i>
    <i>
      <x v="247"/>
      <x v="141"/>
      <x v="512"/>
      <x v="93"/>
      <x v="9"/>
      <x v="36"/>
    </i>
    <i r="1">
      <x v="355"/>
      <x v="573"/>
      <x v="93"/>
      <x v="9"/>
      <x v="36"/>
    </i>
    <i>
      <x v="248"/>
      <x v="156"/>
      <x v="513"/>
      <x v="150"/>
      <x v="4"/>
      <x v="23"/>
    </i>
    <i>
      <x v="249"/>
      <x v="142"/>
      <x v="176"/>
      <x v="22"/>
      <x v="3"/>
      <x v="66"/>
    </i>
    <i r="2">
      <x v="574"/>
      <x v="22"/>
      <x v="3"/>
      <x v="66"/>
    </i>
    <i>
      <x v="250"/>
      <x v="243"/>
      <x v="340"/>
      <x v="151"/>
      <x v="8"/>
      <x v="70"/>
    </i>
    <i r="2">
      <x v="575"/>
      <x v="151"/>
      <x v="8"/>
      <x v="70"/>
    </i>
    <i>
      <x v="251"/>
      <x v="20"/>
      <x v="208"/>
      <x v="152"/>
      <x v="4"/>
      <x v="30"/>
    </i>
    <i>
      <x v="252"/>
      <x v="356"/>
      <x v="576"/>
      <x v="148"/>
      <x v="4"/>
      <x v="58"/>
    </i>
    <i>
      <x v="253"/>
      <x v="7"/>
      <x v="157"/>
      <x v="153"/>
      <x v="3"/>
      <x v="76"/>
    </i>
    <i>
      <x v="254"/>
      <x v="132"/>
      <x v="168"/>
      <x v="13"/>
      <x v="3"/>
      <x v="75"/>
    </i>
    <i r="1">
      <x v="357"/>
      <x v="577"/>
      <x v="13"/>
      <x v="3"/>
      <x v="75"/>
    </i>
    <i>
      <x v="255"/>
      <x v="184"/>
      <x v="181"/>
      <x v="14"/>
      <x v="3"/>
      <x v="75"/>
    </i>
    <i>
      <x v="256"/>
      <x v="266"/>
      <x v="215"/>
      <x v="154"/>
      <x v="4"/>
      <x v="63"/>
    </i>
    <i>
      <x v="257"/>
      <x v="43"/>
      <x v="140"/>
      <x v="155"/>
      <x v="3"/>
      <x v="88"/>
    </i>
    <i>
      <x v="258"/>
      <x v="358"/>
      <x v="391"/>
      <x v="156"/>
      <x v="9"/>
      <x v="7"/>
    </i>
    <i>
      <x v="259"/>
      <x v="358"/>
      <x v="578"/>
      <x v="156"/>
      <x v="9"/>
      <x v="7"/>
    </i>
    <i>
      <x v="260"/>
      <x v="245"/>
      <x v="257"/>
      <x v="157"/>
      <x v="6"/>
      <x v="12"/>
    </i>
    <i>
      <x v="261"/>
      <x v="175"/>
      <x v="321"/>
      <x v="158"/>
      <x v="7"/>
      <x v="29"/>
    </i>
    <i>
      <x v="262"/>
      <x v="118"/>
      <x v="234"/>
      <x v="159"/>
      <x v="5"/>
      <x v="64"/>
    </i>
    <i r="2">
      <x v="579"/>
      <x v="159"/>
      <x v="5"/>
      <x v="64"/>
    </i>
    <i>
      <x v="263"/>
      <x v="159"/>
      <x v="335"/>
      <x v="146"/>
      <x v="7"/>
      <x v="29"/>
    </i>
    <i>
      <x v="264"/>
      <x v="110"/>
      <x v="270"/>
      <x v="160"/>
      <x v="7"/>
      <x v="15"/>
    </i>
    <i>
      <x v="265"/>
      <x v="122"/>
      <x v="273"/>
      <x v="93"/>
      <x v="9"/>
      <x v="36"/>
    </i>
    <i>
      <x v="266"/>
      <x v="212"/>
      <x v="272"/>
      <x v="39"/>
      <x v="7"/>
      <x v="31"/>
    </i>
    <i>
      <x v="267"/>
      <x v="200"/>
      <x v="271"/>
      <x v="39"/>
      <x v="7"/>
      <x v="31"/>
    </i>
    <i>
      <x v="268"/>
      <x v="230"/>
      <x v="580"/>
      <x v="161"/>
      <x v="7"/>
      <x v="34"/>
    </i>
    <i>
      <x v="269"/>
      <x v="149"/>
      <x v="263"/>
      <x v="162"/>
      <x v="7"/>
      <x v="10"/>
    </i>
    <i>
      <x v="270"/>
      <x v="226"/>
      <x v="349"/>
      <x v="112"/>
      <x v="8"/>
      <x v="39"/>
    </i>
    <i>
      <x v="271"/>
      <x v="163"/>
      <x v="352"/>
      <x v="163"/>
      <x v="8"/>
      <x v="70"/>
    </i>
    <i>
      <x v="272"/>
      <x v="167"/>
      <x v="353"/>
      <x v="111"/>
      <x v="9"/>
      <x v="7"/>
    </i>
    <i>
      <x v="273"/>
      <x v="87"/>
      <x v="508"/>
      <x v="66"/>
      <x v="8"/>
      <x v="39"/>
    </i>
    <i>
      <x v="274"/>
      <x v="49"/>
      <x v="227"/>
      <x v="164"/>
      <x v="5"/>
      <x v="24"/>
    </i>
    <i>
      <x v="275"/>
      <x v="71"/>
      <x v="67"/>
      <x v="165"/>
      <x v="1"/>
      <x v="73"/>
    </i>
    <i>
      <x v="276"/>
      <x v="100"/>
      <x v="69"/>
      <x v="11"/>
      <x v="3"/>
      <x v="75"/>
    </i>
    <i>
      <x v="277"/>
      <x v="311"/>
      <x v="68"/>
      <x v="69"/>
      <x v="3"/>
      <x v="76"/>
    </i>
    <i>
      <x v="278"/>
      <x v="318"/>
      <x v="274"/>
      <x v="166"/>
      <x v="7"/>
      <x v="81"/>
    </i>
    <i>
      <x v="279"/>
      <x v="286"/>
      <x v="245"/>
      <x v="26"/>
      <x v="6"/>
      <x v="53"/>
    </i>
    <i>
      <x v="280"/>
      <x v="113"/>
      <x v="331"/>
      <x v="136"/>
      <x v="7"/>
      <x v="29"/>
    </i>
    <i>
      <x v="281"/>
      <x v="359"/>
      <x v="581"/>
      <x v="167"/>
      <x v="8"/>
      <x v="42"/>
    </i>
    <i>
      <x v="282"/>
      <x v="39"/>
      <x v="342"/>
      <x v="167"/>
      <x v="8"/>
      <x v="88"/>
    </i>
    <i>
      <x v="283"/>
      <x v="360"/>
      <x v="582"/>
      <x v="168"/>
      <x v="7"/>
      <x v="31"/>
    </i>
    <i>
      <x v="284"/>
      <x v="207"/>
      <x v="370"/>
      <x v="29"/>
      <x v="9"/>
      <x v="82"/>
    </i>
    <i>
      <x v="285"/>
      <x v="187"/>
      <x v="372"/>
      <x v="46"/>
      <x v="9"/>
      <x v="48"/>
    </i>
    <i>
      <x v="286"/>
      <x v="75"/>
      <x v="371"/>
      <x v="91"/>
      <x v="10"/>
      <x v="86"/>
    </i>
    <i>
      <x v="287"/>
      <x v="42"/>
      <x v="369"/>
      <x v="169"/>
      <x v="9"/>
      <x v="27"/>
    </i>
    <i>
      <x v="288"/>
      <x v="361"/>
      <x v="367"/>
      <x v="105"/>
      <x v="9"/>
      <x v="82"/>
    </i>
    <i>
      <x v="289"/>
      <x v="331"/>
      <x v="368"/>
      <x v="29"/>
      <x v="9"/>
      <x v="82"/>
    </i>
    <i>
      <x v="290"/>
      <x v="36"/>
      <x v="380"/>
      <x v="170"/>
      <x v="9"/>
      <x v="86"/>
    </i>
    <i>
      <x v="291"/>
      <x v="187"/>
      <x v="378"/>
      <x v="46"/>
      <x v="9"/>
      <x v="55"/>
    </i>
    <i>
      <x v="292"/>
      <x v="223"/>
      <x v="379"/>
      <x v="47"/>
      <x v="9"/>
      <x v="55"/>
    </i>
    <i>
      <x v="293"/>
      <x v="42"/>
      <x v="375"/>
      <x v="169"/>
      <x v="9"/>
      <x v="27"/>
    </i>
    <i>
      <x v="294"/>
      <x v="361"/>
      <x v="373"/>
      <x v="105"/>
      <x v="9"/>
      <x v="82"/>
    </i>
    <i>
      <x v="295"/>
      <x v="234"/>
      <x v="377"/>
      <x v="171"/>
      <x v="10"/>
      <x v="8"/>
    </i>
    <i>
      <x v="296"/>
      <x v="331"/>
      <x v="374"/>
      <x v="29"/>
      <x v="9"/>
      <x v="82"/>
    </i>
    <i>
      <x v="297"/>
      <x v="332"/>
      <x v="306"/>
      <x v="29"/>
      <x v="9"/>
      <x v="82"/>
    </i>
    <i>
      <x v="298"/>
      <x v="211"/>
      <x v="376"/>
      <x v="29"/>
      <x v="9"/>
      <x v="82"/>
    </i>
    <i>
      <x v="299"/>
      <x v="340"/>
      <x v="583"/>
      <x v="48"/>
      <x v="10"/>
      <x v="8"/>
    </i>
    <i>
      <x v="300"/>
      <x v="2"/>
      <x v="308"/>
      <x v="44"/>
      <x v="10"/>
      <x v="88"/>
    </i>
    <i>
      <x v="301"/>
      <x v="207"/>
      <x v="309"/>
      <x v="29"/>
      <x v="9"/>
      <x v="82"/>
    </i>
    <i>
      <x v="302"/>
      <x v="36"/>
      <x v="312"/>
      <x v="170"/>
      <x v="9"/>
      <x v="86"/>
    </i>
    <i>
      <x v="303"/>
      <x v="187"/>
      <x v="311"/>
      <x v="46"/>
      <x v="9"/>
      <x v="55"/>
    </i>
    <i>
      <x v="304"/>
      <x v="151"/>
      <x v="305"/>
      <x v="105"/>
      <x v="9"/>
      <x v="82"/>
    </i>
    <i>
      <x v="305"/>
      <x v="42"/>
      <x v="307"/>
      <x v="169"/>
      <x v="9"/>
      <x v="27"/>
    </i>
    <i>
      <x v="306"/>
      <x v="234"/>
      <x v="310"/>
      <x v="171"/>
      <x v="10"/>
      <x v="8"/>
    </i>
    <i>
      <x v="307"/>
      <x v="65"/>
      <x v="30"/>
      <x v="104"/>
      <x/>
      <x v="87"/>
    </i>
    <i>
      <x v="308"/>
      <x v="322"/>
      <x v="238"/>
      <x v="172"/>
      <x v="5"/>
      <x v="25"/>
    </i>
    <i>
      <x v="309"/>
      <x v="90"/>
      <x v="504"/>
      <x v="173"/>
      <x v="6"/>
      <x v="1"/>
    </i>
    <i>
      <x v="310"/>
      <x v="210"/>
      <x v="119"/>
      <x v="174"/>
      <x v="2"/>
      <x v="18"/>
    </i>
    <i r="2">
      <x v="584"/>
      <x v="174"/>
      <x v="2"/>
      <x v="18"/>
    </i>
    <i>
      <x v="311"/>
      <x v="255"/>
      <x v="125"/>
      <x v="175"/>
      <x v="4"/>
      <x v="30"/>
    </i>
    <i>
      <x v="312"/>
      <x v="219"/>
      <x v="123"/>
      <x v="176"/>
      <x v="4"/>
      <x v="17"/>
    </i>
    <i>
      <x v="313"/>
      <x v="32"/>
      <x v="122"/>
      <x v="58"/>
      <x v="3"/>
      <x v="66"/>
    </i>
    <i>
      <x v="314"/>
      <x v="62"/>
      <x v="121"/>
      <x v="121"/>
      <x v="3"/>
      <x v="75"/>
    </i>
    <i>
      <x v="315"/>
      <x v="193"/>
      <x v="124"/>
      <x v="177"/>
      <x v="11"/>
      <x v="19"/>
    </i>
    <i>
      <x v="316"/>
      <x v="67"/>
      <x v="120"/>
      <x v="178"/>
      <x v="2"/>
      <x v="83"/>
    </i>
    <i r="1">
      <x v="362"/>
      <x v="585"/>
      <x v="178"/>
      <x v="2"/>
      <x v="83"/>
    </i>
    <i>
      <x v="317"/>
      <x v="176"/>
      <x v="4"/>
      <x v="179"/>
      <x/>
      <x v="87"/>
    </i>
    <i>
      <x v="318"/>
      <x v="298"/>
      <x v="9"/>
      <x v="180"/>
      <x v="10"/>
      <x v="34"/>
    </i>
    <i>
      <x v="319"/>
      <x v="255"/>
      <x v="10"/>
      <x v="175"/>
      <x v="4"/>
      <x v="30"/>
    </i>
    <i>
      <x v="320"/>
      <x v="219"/>
      <x v="7"/>
      <x v="176"/>
      <x v="4"/>
      <x v="17"/>
    </i>
    <i>
      <x v="321"/>
      <x v="77"/>
      <x v="8"/>
      <x v="122"/>
      <x v="10"/>
      <x v="8"/>
    </i>
    <i>
      <x v="322"/>
      <x v="139"/>
      <x v="6"/>
      <x v="181"/>
      <x v="10"/>
      <x v="78"/>
    </i>
    <i>
      <x v="323"/>
      <x v="6"/>
      <x v="5"/>
      <x v="182"/>
      <x v="3"/>
      <x v="76"/>
    </i>
    <i>
      <x v="324"/>
      <x v="176"/>
      <x v="35"/>
      <x v="179"/>
      <x/>
      <x v="87"/>
    </i>
    <i>
      <x v="325"/>
      <x v="299"/>
      <x v="45"/>
      <x v="180"/>
      <x v="10"/>
      <x v="34"/>
    </i>
    <i>
      <x v="326"/>
      <x v="255"/>
      <x v="46"/>
      <x v="175"/>
      <x v="4"/>
      <x v="30"/>
    </i>
    <i>
      <x v="327"/>
      <x v="193"/>
      <x v="42"/>
      <x v="177"/>
      <x v="11"/>
      <x v="19"/>
    </i>
    <i>
      <x v="328"/>
      <x v="219"/>
      <x v="41"/>
      <x v="176"/>
      <x v="4"/>
      <x v="17"/>
    </i>
    <i>
      <x v="329"/>
      <x v="83"/>
      <x v="43"/>
      <x v="183"/>
      <x v="3"/>
      <x v="88"/>
    </i>
    <i>
      <x v="330"/>
      <x v="77"/>
      <x v="44"/>
      <x v="122"/>
      <x v="10"/>
      <x v="8"/>
    </i>
    <i>
      <x v="331"/>
      <x v="302"/>
      <x v="40"/>
      <x v="13"/>
      <x v="3"/>
      <x v="75"/>
    </i>
    <i>
      <x v="332"/>
      <x v="139"/>
      <x v="39"/>
      <x v="181"/>
      <x v="10"/>
      <x v="78"/>
    </i>
    <i>
      <x v="333"/>
      <x v="67"/>
      <x v="36"/>
      <x v="178"/>
      <x v="2"/>
      <x v="83"/>
    </i>
    <i>
      <x v="334"/>
      <x v="6"/>
      <x v="37"/>
      <x v="182"/>
      <x v="3"/>
      <x v="76"/>
    </i>
    <i>
      <x v="335"/>
      <x v="62"/>
      <x v="38"/>
      <x v="121"/>
      <x v="3"/>
      <x v="75"/>
    </i>
    <i>
      <x v="336"/>
      <x v="187"/>
      <x v="47"/>
      <x v="46"/>
      <x v="9"/>
      <x v="55"/>
    </i>
    <i>
      <x v="337"/>
      <x v="288"/>
      <x v="232"/>
      <x v="184"/>
      <x v="5"/>
      <x v="57"/>
    </i>
    <i>
      <x v="338"/>
      <x v="116"/>
      <x v="222"/>
      <x v="185"/>
      <x v="5"/>
      <x v="21"/>
    </i>
    <i r="1">
      <x v="363"/>
      <x v="586"/>
      <x v="185"/>
      <x v="5"/>
      <x v="21"/>
    </i>
    <i>
      <x v="339"/>
      <x v="255"/>
      <x v="225"/>
      <x v="175"/>
      <x v="4"/>
      <x v="30"/>
    </i>
    <i>
      <x v="340"/>
      <x v="62"/>
      <x v="223"/>
      <x v="121"/>
      <x v="3"/>
      <x v="75"/>
    </i>
    <i>
      <x v="341"/>
      <x v="193"/>
      <x v="224"/>
      <x v="177"/>
      <x v="11"/>
      <x v="19"/>
    </i>
    <i>
      <x v="342"/>
      <x v="119"/>
      <x v="19"/>
      <x v="186"/>
      <x/>
      <x v="80"/>
    </i>
    <i>
      <x v="343"/>
      <x v="329"/>
      <x v="11"/>
      <x v="187"/>
      <x/>
      <x v="32"/>
    </i>
    <i>
      <x v="344"/>
      <x v="6"/>
      <x v="13"/>
      <x v="188"/>
      <x v="3"/>
      <x v="76"/>
    </i>
    <i>
      <x v="345"/>
      <x v="62"/>
      <x v="14"/>
      <x v="121"/>
      <x v="3"/>
      <x v="75"/>
    </i>
    <i>
      <x v="346"/>
      <x v="67"/>
      <x v="12"/>
      <x v="178"/>
      <x v="2"/>
      <x v="83"/>
    </i>
    <i>
      <x v="347"/>
      <x v="50"/>
      <x v="15"/>
      <x v="189"/>
      <x/>
      <x v="4"/>
    </i>
    <i r="2">
      <x v="587"/>
      <x v="189"/>
      <x/>
      <x v="4"/>
    </i>
    <i>
      <x v="348"/>
      <x v="7"/>
      <x v="425"/>
      <x v="153"/>
      <x v="3"/>
      <x v="76"/>
    </i>
    <i>
      <x v="349"/>
      <x v="63"/>
      <x v="426"/>
      <x v="121"/>
      <x v="6"/>
      <x v="75"/>
    </i>
    <i>
      <x v="350"/>
      <x v="220"/>
      <x v="428"/>
      <x v="176"/>
      <x v="4"/>
      <x v="17"/>
    </i>
    <i>
      <x v="351"/>
      <x v="140"/>
      <x v="427"/>
      <x v="181"/>
      <x v="10"/>
      <x v="78"/>
    </i>
    <i>
      <x v="352"/>
      <x v="68"/>
      <x v="424"/>
      <x v="178"/>
      <x v="2"/>
      <x v="83"/>
    </i>
    <i>
      <x v="353"/>
      <x v="279"/>
      <x v="228"/>
      <x v="190"/>
      <x v="5"/>
      <x/>
    </i>
    <i r="2">
      <x v="588"/>
      <x v="190"/>
      <x v="5"/>
      <x/>
    </i>
    <i>
      <x v="354"/>
      <x v="283"/>
      <x v="16"/>
      <x v="191"/>
      <x/>
      <x v="68"/>
    </i>
    <i>
      <x v="355"/>
      <x v="89"/>
      <x v="34"/>
      <x v="192"/>
      <x/>
      <x v="68"/>
    </i>
    <i>
      <x v="356"/>
      <x v="63"/>
      <x v="437"/>
      <x v="121"/>
      <x v="3"/>
      <x v="75"/>
    </i>
    <i>
      <x v="357"/>
      <x v="7"/>
      <x v="436"/>
      <x v="153"/>
      <x v="3"/>
      <x v="76"/>
    </i>
    <i>
      <x v="358"/>
      <x v="220"/>
      <x v="439"/>
      <x v="176"/>
      <x v="4"/>
      <x v="17"/>
    </i>
    <i>
      <x v="359"/>
      <x v="24"/>
      <x v="435"/>
      <x v="178"/>
      <x v="2"/>
      <x v="83"/>
    </i>
    <i>
      <x v="360"/>
      <x v="140"/>
      <x v="438"/>
      <x v="181"/>
      <x v="10"/>
      <x v="78"/>
    </i>
    <i>
      <x v="361"/>
      <x v="224"/>
      <x v="253"/>
      <x v="193"/>
      <x v="6"/>
      <x v="45"/>
    </i>
    <i>
      <x v="362"/>
      <x v="244"/>
      <x v="132"/>
      <x v="194"/>
      <x v="3"/>
      <x v="6"/>
    </i>
    <i>
      <x v="363"/>
      <x v="48"/>
      <x v="142"/>
      <x v="195"/>
      <x v="3"/>
      <x v="77"/>
    </i>
    <i>
      <x v="364"/>
      <x v="177"/>
      <x v="300"/>
      <x v="141"/>
      <x v="7"/>
      <x v="88"/>
    </i>
    <i r="2">
      <x v="589"/>
      <x v="141"/>
      <x v="7"/>
      <x v="88"/>
    </i>
    <i>
      <x v="365"/>
      <x v="5"/>
      <x v="275"/>
      <x v="196"/>
      <x v="7"/>
      <x v="81"/>
    </i>
    <i>
      <x v="366"/>
      <x v="312"/>
      <x v="346"/>
      <x v="70"/>
      <x v="8"/>
      <x v="35"/>
    </i>
    <i>
      <x v="367"/>
      <x v="217"/>
      <x v="590"/>
      <x v="197"/>
      <x v="5"/>
      <x v="25"/>
    </i>
    <i r="2">
      <x v="591"/>
      <x v="197"/>
      <x v="5"/>
      <x v="25"/>
    </i>
    <i r="1">
      <x v="218"/>
      <x v="226"/>
      <x v="197"/>
      <x v="5"/>
      <x v="25"/>
    </i>
    <i>
      <x v="368"/>
      <x v="217"/>
      <x v="236"/>
      <x v="197"/>
      <x v="5"/>
      <x v="25"/>
    </i>
    <i>
      <x v="369"/>
      <x v="28"/>
      <x v="211"/>
      <x v="198"/>
      <x v="4"/>
      <x v="41"/>
    </i>
    <i r="2">
      <x v="592"/>
      <x v="198"/>
      <x v="4"/>
      <x v="41"/>
    </i>
    <i>
      <x v="370"/>
      <x v="319"/>
      <x v="203"/>
      <x v="199"/>
      <x v="4"/>
      <x v="44"/>
    </i>
    <i r="2">
      <x v="593"/>
      <x v="199"/>
      <x v="4"/>
      <x v="44"/>
    </i>
    <i r="2">
      <x v="594"/>
      <x v="199"/>
      <x v="4"/>
      <x v="44"/>
    </i>
    <i>
      <x v="371"/>
      <x v="259"/>
      <x v="2"/>
      <x v="104"/>
      <x/>
      <x v="87"/>
    </i>
    <i r="2">
      <x v="595"/>
      <x v="104"/>
      <x/>
      <x v="87"/>
    </i>
    <i r="2">
      <x v="596"/>
      <x v="104"/>
      <x/>
      <x v="87"/>
    </i>
    <i>
      <x v="372"/>
      <x v="145"/>
      <x v="131"/>
      <x v="178"/>
      <x v="2"/>
      <x v="83"/>
    </i>
    <i r="2">
      <x v="597"/>
      <x v="178"/>
      <x v="2"/>
      <x v="83"/>
    </i>
    <i>
      <x v="373"/>
      <x v="213"/>
      <x v="103"/>
      <x v="39"/>
      <x v="7"/>
      <x v="31"/>
    </i>
    <i>
      <x v="374"/>
      <x v="105"/>
      <x v="99"/>
      <x v="9"/>
      <x v="11"/>
      <x v="19"/>
    </i>
    <i>
      <x v="375"/>
      <x v="171"/>
      <x v="102"/>
      <x v="200"/>
      <x v="1"/>
      <x v="47"/>
    </i>
    <i>
      <x v="376"/>
      <x v="105"/>
      <x v="98"/>
      <x v="9"/>
      <x v="11"/>
      <x v="19"/>
    </i>
    <i>
      <x v="377"/>
      <x v="41"/>
      <x v="101"/>
      <x v="201"/>
      <x v="9"/>
      <x v="27"/>
    </i>
    <i>
      <x v="378"/>
      <x v="3"/>
      <x v="100"/>
      <x v="42"/>
      <x v="11"/>
      <x v="19"/>
    </i>
    <i>
      <x v="379"/>
      <x v="295"/>
      <x v="138"/>
      <x v="10"/>
      <x v="2"/>
      <x v="50"/>
    </i>
    <i>
      <x v="380"/>
      <x v="364"/>
      <x v="137"/>
      <x v="21"/>
      <x v="3"/>
      <x v="66"/>
    </i>
    <i>
      <x v="381"/>
      <x v="166"/>
      <x v="416"/>
      <x v="202"/>
      <x v="10"/>
      <x v="78"/>
    </i>
    <i>
      <x v="382"/>
      <x v="94"/>
      <x v="152"/>
      <x v="14"/>
      <x v="3"/>
      <x v="75"/>
    </i>
    <i>
      <x v="383"/>
      <x v="305"/>
      <x v="153"/>
      <x v="123"/>
      <x v="2"/>
      <x v="50"/>
    </i>
    <i>
      <x v="384"/>
      <x v="295"/>
      <x v="154"/>
      <x v="10"/>
      <x v="2"/>
      <x v="50"/>
    </i>
    <i>
      <x v="385"/>
      <x v="241"/>
      <x v="247"/>
      <x v="203"/>
      <x v="6"/>
      <x v="56"/>
    </i>
    <i>
      <x v="386"/>
      <x v="143"/>
      <x v="276"/>
      <x v="146"/>
      <x v="7"/>
      <x v="29"/>
    </i>
    <i>
      <x v="387"/>
      <x v="17"/>
      <x v="431"/>
      <x v="204"/>
      <x v="10"/>
      <x v="11"/>
    </i>
    <i>
      <x v="388"/>
      <x v="165"/>
      <x v="237"/>
      <x v="190"/>
      <x v="5"/>
      <x/>
    </i>
    <i>
      <x v="389"/>
      <x v="280"/>
      <x v="410"/>
      <x v="205"/>
      <x v="10"/>
      <x v="40"/>
    </i>
    <i>
      <x v="390"/>
      <x v="2"/>
      <x v="412"/>
      <x v="44"/>
      <x v="10"/>
      <x v="86"/>
    </i>
    <i>
      <x v="391"/>
      <x v="196"/>
      <x v="411"/>
      <x v="45"/>
      <x v="10"/>
      <x v="86"/>
    </i>
    <i>
      <x v="392"/>
      <x v="27"/>
      <x v="432"/>
      <x v="57"/>
      <x v="10"/>
      <x v="49"/>
    </i>
    <i>
      <x v="393"/>
      <x v="85"/>
      <x v="248"/>
      <x v="206"/>
      <x v="6"/>
      <x v="53"/>
    </i>
    <i>
      <x v="394"/>
      <x v="239"/>
      <x v="169"/>
      <x v="207"/>
      <x v="3"/>
      <x v="76"/>
    </i>
    <i>
      <x v="395"/>
      <x v="4"/>
      <x v="71"/>
      <x v="208"/>
      <x v="1"/>
      <x v="71"/>
    </i>
    <i>
      <x v="396"/>
      <x v="44"/>
      <x v="95"/>
      <x v="209"/>
      <x v="1"/>
      <x v="85"/>
    </i>
    <i>
      <x v="397"/>
      <x v="277"/>
      <x v="456"/>
      <x v="210"/>
      <x v="11"/>
      <x v="28"/>
    </i>
    <i>
      <x v="398"/>
      <x v="40"/>
      <x v="455"/>
      <x v="9"/>
      <x v="11"/>
      <x v="19"/>
    </i>
    <i>
      <x v="399"/>
      <x v="338"/>
      <x v="598"/>
      <x v="38"/>
      <x v="3"/>
      <x v="6"/>
    </i>
    <i>
      <x v="400"/>
      <x v="248"/>
      <x v="212"/>
      <x v="56"/>
      <x v="4"/>
      <x v="44"/>
    </i>
    <i>
      <x v="401"/>
      <x v="91"/>
      <x v="511"/>
      <x v="30"/>
      <x v="9"/>
      <x v="88"/>
    </i>
    <i>
      <x v="402"/>
      <x v="14"/>
      <x v="510"/>
      <x v="31"/>
      <x v="9"/>
      <x v="88"/>
    </i>
    <i>
      <x v="403"/>
      <x v="330"/>
      <x v="509"/>
      <x v="32"/>
      <x v="9"/>
      <x v="88"/>
    </i>
    <i>
      <x v="404"/>
      <x v="201"/>
      <x v="383"/>
      <x v="39"/>
      <x v="7"/>
      <x v="31"/>
    </i>
    <i r="2">
      <x v="599"/>
      <x v="39"/>
      <x v="7"/>
      <x v="31"/>
    </i>
    <i>
      <x v="405"/>
      <x v="330"/>
      <x v="382"/>
      <x v="32"/>
      <x v="9"/>
      <x v="88"/>
    </i>
    <i>
      <x v="406"/>
      <x v="2"/>
      <x v="386"/>
      <x v="44"/>
      <x v="10"/>
      <x v="86"/>
    </i>
    <i>
      <x v="407"/>
      <x v="196"/>
      <x v="381"/>
      <x v="45"/>
      <x v="10"/>
      <x v="86"/>
    </i>
    <i>
      <x v="408"/>
      <x v="187"/>
      <x v="388"/>
      <x v="46"/>
      <x v="9"/>
      <x v="55"/>
    </i>
    <i>
      <x v="409"/>
      <x v="75"/>
      <x v="387"/>
      <x v="91"/>
      <x v="10"/>
      <x v="88"/>
    </i>
    <i>
      <x v="410"/>
      <x v="211"/>
      <x v="389"/>
      <x v="49"/>
      <x v="9"/>
      <x v="82"/>
    </i>
    <i>
      <x v="411"/>
      <x v="14"/>
      <x v="384"/>
      <x v="31"/>
      <x v="9"/>
      <x v="88"/>
    </i>
    <i>
      <x v="412"/>
      <x v="91"/>
      <x v="385"/>
      <x v="30"/>
      <x v="9"/>
      <x v="88"/>
    </i>
    <i>
      <x v="413"/>
      <x v="88"/>
      <x v="130"/>
      <x v="211"/>
      <x v="2"/>
      <x v="83"/>
    </i>
    <i>
      <x v="414"/>
      <x v="152"/>
      <x v="158"/>
      <x v="212"/>
      <x v="3"/>
      <x v="6"/>
    </i>
    <i>
      <x v="415"/>
      <x v="61"/>
      <x v="216"/>
      <x v="213"/>
      <x v="4"/>
      <x v="63"/>
    </i>
    <i>
      <x v="416"/>
      <x v="73"/>
      <x v="251"/>
      <x v="214"/>
      <x v="6"/>
      <x v="45"/>
    </i>
    <i>
      <x v="417"/>
      <x v="31"/>
      <x v="337"/>
      <x v="151"/>
      <x v="8"/>
      <x v="70"/>
    </i>
    <i>
      <x v="418"/>
      <x v="156"/>
      <x v="338"/>
      <x v="150"/>
      <x v="4"/>
      <x v="23"/>
    </i>
    <i>
      <x v="419"/>
      <x v="157"/>
      <x v="220"/>
      <x v="150"/>
      <x v="4"/>
      <x v="23"/>
    </i>
    <i>
      <x v="420"/>
      <x v="161"/>
      <x v="219"/>
      <x v="215"/>
      <x v="5"/>
      <x v="25"/>
    </i>
    <i>
      <x v="421"/>
      <x v="161"/>
      <x v="218"/>
      <x v="215"/>
      <x v="5"/>
      <x v="25"/>
    </i>
    <i r="2">
      <x v="600"/>
      <x v="215"/>
      <x v="4"/>
      <x v="25"/>
    </i>
    <i r="2">
      <x v="601"/>
      <x v="215"/>
      <x v="5"/>
      <x v="25"/>
    </i>
    <i r="2">
      <x v="602"/>
      <x v="215"/>
      <x v="5"/>
      <x v="25"/>
    </i>
    <i>
      <x v="422"/>
      <x v="208"/>
      <x v="198"/>
      <x v="176"/>
      <x v="4"/>
      <x v="17"/>
    </i>
    <i r="1">
      <x v="365"/>
      <x v="603"/>
      <x v="176"/>
      <x v="4"/>
      <x v="17"/>
    </i>
    <i r="2">
      <x v="604"/>
      <x v="176"/>
      <x v="4"/>
      <x v="17"/>
    </i>
    <i r="1">
      <x v="366"/>
      <x v="605"/>
      <x v="176"/>
      <x v="4"/>
      <x v="17"/>
    </i>
    <i>
      <x v="423"/>
      <x v="20"/>
      <x v="199"/>
      <x v="152"/>
      <x v="4"/>
      <x v="30"/>
    </i>
    <i>
      <x v="424"/>
      <x v="96"/>
      <x v="197"/>
      <x v="216"/>
      <x v="4"/>
      <x v="58"/>
    </i>
    <i>
      <x v="425"/>
      <x v="258"/>
      <x v="501"/>
      <x v="217"/>
      <x v="4"/>
      <x v="58"/>
    </i>
    <i>
      <x v="426"/>
      <x v="157"/>
      <x v="206"/>
      <x v="150"/>
      <x v="4"/>
      <x v="23"/>
    </i>
    <i>
      <x v="427"/>
      <x v="258"/>
      <x v="204"/>
      <x v="217"/>
      <x v="4"/>
      <x v="58"/>
    </i>
    <i r="2">
      <x v="606"/>
      <x v="217"/>
      <x v="4"/>
      <x v="58"/>
    </i>
    <i>
      <x v="428"/>
      <x v="19"/>
      <x v="205"/>
      <x v="152"/>
      <x v="4"/>
      <x v="30"/>
    </i>
    <i>
      <x v="429"/>
      <x v="180"/>
      <x v="31"/>
      <x v="218"/>
      <x/>
      <x v="33"/>
    </i>
    <i>
      <x v="430"/>
      <x v="367"/>
      <x v="233"/>
      <x v="172"/>
      <x v="5"/>
      <x v="25"/>
    </i>
    <i>
      <x v="431"/>
      <x v="127"/>
      <x v="221"/>
      <x v="219"/>
      <x v="5"/>
      <x v="25"/>
    </i>
    <i>
      <x v="432"/>
      <x v="307"/>
      <x v="231"/>
      <x v="220"/>
      <x v="5"/>
      <x v="79"/>
    </i>
    <i>
      <x v="433"/>
      <x v="237"/>
      <x v="407"/>
      <x v="221"/>
      <x v="9"/>
      <x v="51"/>
    </i>
    <i>
      <x v="434"/>
      <x v="41"/>
      <x v="408"/>
      <x v="201"/>
      <x v="9"/>
      <x v="27"/>
    </i>
    <i>
      <x v="435"/>
      <x v="264"/>
      <x v="390"/>
      <x v="222"/>
      <x v="9"/>
      <x v="51"/>
    </i>
    <i>
      <x v="436"/>
      <x v="368"/>
      <x v="607"/>
      <x v="223"/>
      <x v="10"/>
      <x v="88"/>
    </i>
    <i>
      <x v="437"/>
      <x v="148"/>
      <x v="393"/>
      <x v="29"/>
      <x v="9"/>
      <x v="82"/>
    </i>
    <i r="2">
      <x v="608"/>
      <x v="224"/>
      <x v="9"/>
      <x v="82"/>
    </i>
    <i>
      <x v="438"/>
      <x v="207"/>
      <x v="394"/>
      <x v="225"/>
      <x v="9"/>
      <x v="82"/>
    </i>
    <i>
      <x v="439"/>
      <x v="304"/>
      <x v="187"/>
      <x v="10"/>
      <x v="2"/>
      <x v="50"/>
    </i>
    <i>
      <x v="440"/>
      <x v="105"/>
      <x v="186"/>
      <x v="9"/>
      <x v="11"/>
      <x v="19"/>
    </i>
    <i>
      <x v="441"/>
      <x v="202"/>
      <x v="188"/>
      <x v="12"/>
      <x v="11"/>
      <x v="19"/>
    </i>
    <i>
      <x v="442"/>
      <x v="197"/>
      <x v="260"/>
      <x v="226"/>
      <x v="6"/>
      <x v="12"/>
    </i>
    <i>
      <x v="443"/>
      <x v="274"/>
      <x v="201"/>
      <x v="227"/>
      <x v="4"/>
      <x v="44"/>
    </i>
    <i>
      <x v="444"/>
      <x v="310"/>
      <x v="146"/>
      <x v="228"/>
      <x v="3"/>
      <x v="66"/>
    </i>
    <i>
      <x v="445"/>
      <x v="19"/>
      <x v="395"/>
      <x v="152"/>
      <x v="4"/>
      <x v="30"/>
    </i>
    <i>
      <x v="446"/>
      <x v="136"/>
      <x v="229"/>
      <x v="229"/>
      <x v="5"/>
      <x v="79"/>
    </i>
    <i>
      <x v="447"/>
      <x v="275"/>
      <x v="440"/>
      <x v="230"/>
      <x v="10"/>
      <x v="8"/>
    </i>
    <i>
      <x v="448"/>
      <x v="107"/>
      <x v="417"/>
      <x v="181"/>
      <x v="10"/>
      <x v="78"/>
    </i>
    <i>
      <x v="449"/>
      <x v="369"/>
      <x v="433"/>
      <x v="180"/>
      <x v="10"/>
      <x v="34"/>
    </i>
    <i>
      <x v="450"/>
      <x v="289"/>
      <x v="430"/>
      <x v="230"/>
      <x v="10"/>
      <x v="8"/>
    </i>
    <i>
      <x v="451"/>
      <x v="234"/>
      <x v="418"/>
      <x v="171"/>
      <x v="10"/>
      <x v="8"/>
    </i>
    <i>
      <x v="452"/>
      <x v="150"/>
      <x v="182"/>
      <x v="231"/>
      <x v="3"/>
      <x v="6"/>
    </i>
    <i>
      <x v="453"/>
      <x v="282"/>
      <x v="159"/>
      <x v="232"/>
      <x v="3"/>
      <x v="62"/>
    </i>
    <i>
      <x v="454"/>
      <x v="10"/>
      <x v="210"/>
      <x v="233"/>
      <x v="4"/>
      <x v="41"/>
    </i>
    <i r="2">
      <x v="609"/>
      <x v="233"/>
      <x v="4"/>
      <x v="41"/>
    </i>
    <i r="2">
      <x v="610"/>
      <x v="233"/>
      <x v="4"/>
      <x v="41"/>
    </i>
    <i>
      <x v="455"/>
      <x v="3"/>
      <x v="88"/>
      <x v="42"/>
      <x v="11"/>
      <x v="43"/>
    </i>
    <i>
      <x v="456"/>
      <x v="92"/>
      <x v="90"/>
      <x v="107"/>
      <x v="2"/>
      <x v="46"/>
    </i>
    <i>
      <x v="457"/>
      <x v="103"/>
      <x v="89"/>
      <x v="50"/>
      <x v="11"/>
      <x v="19"/>
    </i>
    <i>
      <x v="458"/>
      <x v="105"/>
      <x v="87"/>
      <x v="9"/>
      <x v="11"/>
      <x v="19"/>
    </i>
    <i>
      <x v="459"/>
      <x v="135"/>
      <x v="179"/>
      <x v="234"/>
      <x v="3"/>
      <x v="66"/>
    </i>
    <i>
      <x v="460"/>
      <x v="13"/>
      <x v="434"/>
      <x v="235"/>
      <x v="10"/>
      <x v="78"/>
    </i>
    <i>
      <x v="461"/>
      <x v="287"/>
      <x v="172"/>
      <x v="236"/>
      <x v="3"/>
      <x v="16"/>
    </i>
    <i>
      <x v="462"/>
      <x v="182"/>
      <x v="339"/>
      <x v="125"/>
      <x v="8"/>
      <x v="65"/>
    </i>
    <i>
      <x v="463"/>
      <x v="230"/>
      <x v="304"/>
      <x v="117"/>
      <x v="7"/>
      <x v="31"/>
    </i>
    <i>
      <x v="464"/>
      <x v="195"/>
      <x v="96"/>
      <x v="237"/>
      <x v="1"/>
      <x v="38"/>
    </i>
    <i>
      <x v="465"/>
      <x v="272"/>
      <x v="483"/>
      <x v="238"/>
      <x v="1"/>
      <x v="60"/>
    </i>
    <i>
      <x v="466"/>
      <x v="126"/>
      <x v="472"/>
      <x v="9"/>
      <x v="11"/>
      <x v="19"/>
    </i>
    <i>
      <x v="467"/>
      <x v="294"/>
      <x v="480"/>
      <x v="239"/>
      <x v="10"/>
      <x v="78"/>
    </i>
    <i r="2">
      <x v="611"/>
      <x v="239"/>
      <x v="10"/>
      <x v="78"/>
    </i>
    <i>
      <x v="468"/>
      <x v="75"/>
      <x v="481"/>
      <x v="91"/>
      <x v="10"/>
      <x v="88"/>
    </i>
    <i>
      <x v="469"/>
      <x v="313"/>
      <x v="419"/>
      <x v="239"/>
      <x v="10"/>
      <x v="78"/>
    </i>
    <i r="2">
      <x v="612"/>
      <x v="239"/>
      <x v="10"/>
      <x v="78"/>
    </i>
    <i>
      <x v="470"/>
      <x v="2"/>
      <x v="421"/>
      <x v="44"/>
      <x v="9"/>
      <x v="59"/>
    </i>
    <i>
      <x v="471"/>
      <x v="183"/>
      <x v="422"/>
      <x v="87"/>
      <x v="10"/>
      <x v="8"/>
    </i>
    <i>
      <x v="472"/>
      <x v="196"/>
      <x v="420"/>
      <x v="45"/>
      <x v="10"/>
      <x v="88"/>
    </i>
    <i>
      <x v="473"/>
      <x v="370"/>
      <x v="613"/>
      <x v="240"/>
      <x v="4"/>
      <x v="30"/>
    </i>
    <i>
      <x v="474"/>
      <x v="240"/>
      <x v="51"/>
      <x v="241"/>
      <x/>
      <x v="88"/>
    </i>
    <i>
      <x v="475"/>
      <x v="269"/>
      <x v="50"/>
      <x v="242"/>
      <x/>
      <x v="88"/>
    </i>
    <i>
      <x v="476"/>
      <x v="53"/>
      <x v="173"/>
      <x v="64"/>
      <x v="3"/>
      <x v="49"/>
    </i>
    <i>
      <x v="477"/>
      <x v="253"/>
      <x v="116"/>
      <x v="243"/>
      <x v="1"/>
      <x v="88"/>
    </i>
    <i>
      <x v="478"/>
      <x v="315"/>
      <x v="92"/>
      <x v="244"/>
      <x v="1"/>
      <x v="88"/>
    </i>
    <i>
      <x v="479"/>
      <x v="292"/>
      <x v="93"/>
      <x v="245"/>
      <x v="1"/>
      <x v="88"/>
    </i>
    <i>
      <x v="480"/>
      <x v="292"/>
      <x v="94"/>
      <x v="245"/>
      <x v="1"/>
      <x v="88"/>
    </i>
    <i>
      <x v="481"/>
      <x v="124"/>
      <x v="109"/>
      <x v="246"/>
      <x v="1"/>
      <x v="88"/>
    </i>
    <i>
      <x v="482"/>
      <x v="292"/>
      <x v="110"/>
      <x v="245"/>
      <x v="1"/>
      <x v="88"/>
    </i>
    <i>
      <x v="483"/>
      <x v="57"/>
      <x v="17"/>
      <x v="247"/>
      <x/>
      <x v="61"/>
    </i>
    <i>
      <x v="484"/>
      <x v="263"/>
      <x v="249"/>
      <x v="248"/>
      <x v="6"/>
      <x v="52"/>
    </i>
    <i r="1">
      <x v="371"/>
      <x v="614"/>
      <x v="248"/>
      <x v="6"/>
      <x v="52"/>
    </i>
    <i r="2">
      <x v="615"/>
      <x v="248"/>
      <x v="6"/>
      <x v="52"/>
    </i>
    <i>
      <x v="485"/>
      <x v="181"/>
      <x v="76"/>
      <x v="249"/>
      <x v="1"/>
      <x v="60"/>
    </i>
    <i>
      <x v="486"/>
      <x v="202"/>
      <x v="81"/>
      <x v="12"/>
      <x v="11"/>
      <x v="19"/>
    </i>
    <i>
      <x v="487"/>
      <x v="101"/>
      <x v="78"/>
      <x v="11"/>
      <x v="3"/>
      <x v="75"/>
    </i>
    <i>
      <x v="488"/>
      <x v="164"/>
      <x v="80"/>
      <x v="8"/>
      <x v="3"/>
      <x v="76"/>
    </i>
    <i>
      <x v="489"/>
      <x v="32"/>
      <x v="79"/>
      <x v="58"/>
      <x v="3"/>
      <x v="66"/>
    </i>
    <i>
      <x v="490"/>
      <x v="311"/>
      <x v="77"/>
      <x v="69"/>
      <x v="3"/>
      <x v="76"/>
    </i>
    <i>
      <x v="491"/>
      <x v="56"/>
      <x v="86"/>
      <x v="250"/>
      <x v="1"/>
      <x v="47"/>
    </i>
    <i r="2">
      <x v="616"/>
      <x v="250"/>
      <x v="1"/>
      <x v="47"/>
    </i>
    <i>
      <x v="492"/>
      <x v="25"/>
      <x v="52"/>
      <x v="209"/>
      <x v="1"/>
      <x v="85"/>
    </i>
    <i>
      <x v="493"/>
      <x v="114"/>
      <x v="18"/>
      <x v="251"/>
      <x/>
      <x v="80"/>
    </i>
    <i>
      <x v="494"/>
      <x v="304"/>
      <x v="27"/>
      <x v="10"/>
      <x v="2"/>
      <x v="50"/>
    </i>
    <i>
      <x v="495"/>
      <x v="196"/>
      <x v="192"/>
      <x v="45"/>
      <x v="10"/>
      <x v="86"/>
    </i>
    <i>
      <x v="496"/>
      <x v="238"/>
      <x v="190"/>
      <x v="64"/>
      <x v="3"/>
      <x v="49"/>
    </i>
    <i r="2">
      <x v="617"/>
      <x v="64"/>
      <x v="3"/>
      <x v="49"/>
    </i>
    <i>
      <x v="497"/>
      <x v="26"/>
      <x v="191"/>
      <x v="57"/>
      <x v="3"/>
      <x v="49"/>
    </i>
    <i>
      <x v="498"/>
      <x v="372"/>
      <x v="196"/>
      <x v="252"/>
      <x v="3"/>
      <x v="66"/>
    </i>
    <i>
      <x v="499"/>
      <x v="64"/>
      <x v="177"/>
      <x v="6"/>
      <x v="3"/>
      <x v="88"/>
    </i>
    <i>
      <x v="500"/>
      <x v="46"/>
      <x v="193"/>
      <x v="6"/>
      <x v="3"/>
      <x v="62"/>
    </i>
    <i>
      <x v="501"/>
      <x v="154"/>
      <x v="185"/>
      <x v="253"/>
      <x v="3"/>
      <x v="88"/>
    </i>
    <i>
      <x v="502"/>
      <x v="190"/>
      <x v="165"/>
      <x v="14"/>
      <x v="3"/>
      <x v="75"/>
    </i>
    <i r="1">
      <x v="373"/>
      <x v="618"/>
      <x v="14"/>
      <x v="3"/>
      <x v="75"/>
    </i>
    <i>
      <x v="503"/>
      <x v="26"/>
      <x v="166"/>
      <x v="57"/>
      <x v="3"/>
      <x v="49"/>
    </i>
    <i>
      <x v="504"/>
      <x v="374"/>
      <x v="619"/>
      <x v="254"/>
      <x v="8"/>
      <x v="70"/>
    </i>
    <i>
      <x v="505"/>
      <x v="74"/>
      <x v="357"/>
      <x v="255"/>
      <x v="8"/>
      <x v="70"/>
    </i>
    <i>
      <x v="506"/>
      <x v="37"/>
      <x v="355"/>
      <x v="254"/>
      <x v="8"/>
      <x v="72"/>
    </i>
    <i>
      <x v="507"/>
      <x v="303"/>
      <x v="230"/>
      <x v="256"/>
      <x v="5"/>
      <x v="48"/>
    </i>
    <i r="2">
      <x v="620"/>
      <x v="256"/>
      <x v="5"/>
      <x v="48"/>
    </i>
    <i>
      <x v="508"/>
      <x v="278"/>
      <x v="3"/>
      <x v="257"/>
      <x/>
      <x v="38"/>
    </i>
    <i>
      <x v="509"/>
      <x v="108"/>
      <x v="48"/>
      <x v="258"/>
      <x/>
      <x v="88"/>
    </i>
    <i>
      <x v="510"/>
      <x v="261"/>
      <x v="265"/>
      <x v="27"/>
      <x v="7"/>
      <x v="88"/>
    </i>
    <i>
      <x v="511"/>
      <x v="95"/>
      <x v="49"/>
      <x v="259"/>
      <x/>
      <x v="88"/>
    </i>
    <i>
      <x v="512"/>
      <x v="79"/>
      <x v="200"/>
      <x v="260"/>
      <x v="4"/>
      <x v="41"/>
    </i>
    <i>
      <x v="513"/>
      <x v="60"/>
      <x v="202"/>
      <x v="261"/>
      <x v="4"/>
      <x v="41"/>
    </i>
    <i>
      <x v="514"/>
      <x v="45"/>
      <x v="252"/>
      <x v="262"/>
      <x v="6"/>
      <x v="12"/>
    </i>
    <i>
      <x v="515"/>
      <x v="29"/>
      <x v="334"/>
      <x v="263"/>
      <x v="7"/>
      <x v="31"/>
    </i>
    <i>
      <x v="516"/>
      <x v="168"/>
      <x v="502"/>
      <x v="73"/>
      <x v="6"/>
      <x v="20"/>
    </i>
    <i>
      <x v="517"/>
      <x v="221"/>
      <x v="329"/>
      <x v="117"/>
      <x v="7"/>
      <x v="31"/>
    </i>
    <i>
      <x v="518"/>
      <x v="15"/>
      <x v="322"/>
      <x v="161"/>
      <x v="7"/>
      <x v="31"/>
    </i>
    <i>
      <x v="519"/>
      <x v="104"/>
      <x v="299"/>
      <x v="162"/>
      <x v="7"/>
      <x v="10"/>
    </i>
    <i>
      <x v="520"/>
      <x v="130"/>
      <x v="278"/>
      <x v="264"/>
      <x v="7"/>
      <x v="10"/>
    </i>
    <i>
      <x v="521"/>
      <x v="82"/>
      <x v="256"/>
      <x v="265"/>
      <x v="6"/>
      <x v="1"/>
    </i>
    <i>
      <x v="522"/>
      <x/>
      <x v="82"/>
      <x v="266"/>
      <x v="1"/>
      <x v="84"/>
    </i>
    <i>
      <x v="523"/>
      <x v="323"/>
      <x v="259"/>
      <x v="63"/>
      <x v="6"/>
      <x v="56"/>
    </i>
    <i>
      <x v="524"/>
      <x v="22"/>
      <x v="280"/>
      <x v="161"/>
      <x v="7"/>
      <x v="10"/>
    </i>
    <i>
      <x v="525"/>
      <x v="93"/>
      <x v="235"/>
      <x v="159"/>
      <x v="5"/>
      <x v="64"/>
    </i>
    <i>
      <x v="526"/>
      <x v="47"/>
      <x v="214"/>
      <x v="176"/>
      <x v="4"/>
      <x v="17"/>
    </i>
    <i>
      <x v="527"/>
      <x v="86"/>
      <x v="20"/>
      <x v="179"/>
      <x/>
      <x v="87"/>
    </i>
    <i>
      <x v="528"/>
      <x v="100"/>
      <x v="22"/>
      <x v="11"/>
      <x v="3"/>
      <x v="75"/>
    </i>
    <i>
      <x v="529"/>
      <x v="20"/>
      <x v="29"/>
      <x v="152"/>
      <x v="4"/>
      <x v="30"/>
    </i>
    <i>
      <x v="530"/>
      <x v="202"/>
      <x v="28"/>
      <x v="12"/>
      <x v="11"/>
      <x v="19"/>
    </i>
    <i>
      <x v="531"/>
      <x v="375"/>
      <x v="21"/>
      <x v="267"/>
      <x v="3"/>
      <x v="76"/>
    </i>
    <i>
      <x v="532"/>
      <x v="70"/>
      <x v="25"/>
      <x v="268"/>
      <x v="3"/>
      <x v="49"/>
    </i>
    <i>
      <x v="533"/>
      <x v="296"/>
      <x v="26"/>
      <x v="10"/>
      <x v="2"/>
      <x v="50"/>
    </i>
    <i>
      <x v="534"/>
      <x v="164"/>
      <x v="24"/>
      <x v="8"/>
      <x v="3"/>
      <x v="76"/>
    </i>
    <i>
      <x v="535"/>
      <x v="32"/>
      <x v="23"/>
      <x v="58"/>
      <x v="3"/>
      <x v="66"/>
    </i>
    <i>
      <x v="536"/>
      <x v="129"/>
      <x v="115"/>
      <x v="37"/>
      <x v="1"/>
      <x v="85"/>
    </i>
    <i>
      <x v="537"/>
      <x v="112"/>
      <x v="281"/>
      <x v="269"/>
      <x v="7"/>
      <x v="67"/>
    </i>
    <i>
      <x v="538"/>
      <x v="102"/>
      <x v="282"/>
      <x v="270"/>
      <x v="7"/>
      <x v="67"/>
    </i>
    <i>
      <x v="539"/>
      <x v="300"/>
      <x v="423"/>
      <x v="271"/>
      <x v="10"/>
      <x v="16"/>
    </i>
    <i>
      <x v="540"/>
      <x v="2"/>
      <x v="621"/>
      <x v="44"/>
      <x v="7"/>
      <x v="88"/>
    </i>
    <i>
      <x v="541"/>
      <x v="196"/>
      <x v="336"/>
      <x v="45"/>
      <x v="10"/>
      <x v="86"/>
    </i>
    <i>
      <x v="542"/>
      <x v="296"/>
      <x v="118"/>
      <x v="10"/>
      <x v="2"/>
      <x v="50"/>
    </i>
    <i>
      <x v="543"/>
      <x v="276"/>
      <x v="117"/>
      <x v="272"/>
      <x v="2"/>
      <x v="5"/>
    </i>
    <i t="grand">
      <x/>
    </i>
  </rowItems>
  <colItems count="1">
    <i/>
  </colItems>
  <formats count="6">
    <format dxfId="5">
      <pivotArea field="1" type="button" dataOnly="0" labelOnly="1" outline="0"/>
    </format>
    <format dxfId="4">
      <pivotArea field="5" type="button" dataOnly="0" labelOnly="1" outline="0" axis="axisRow" fieldPosition="1"/>
    </format>
    <format dxfId="3">
      <pivotArea field="2" type="button" dataOnly="0" labelOnly="1" outline="0" axis="axisRow" fieldPosition="2"/>
    </format>
    <format dxfId="2">
      <pivotArea field="3" type="button" dataOnly="0" labelOnly="1" outline="0" axis="axisRow" fieldPosition="3"/>
    </format>
    <format dxfId="1">
      <pivotArea field="6" type="button" dataOnly="0" labelOnly="1" outline="0" axis="axisRow" fieldPosition="4"/>
    </format>
    <format dxfId="0">
      <pivotArea field="7" type="button" dataOnly="0" labelOnly="1" outline="0" axis="axisRow" fieldPosition="5"/>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YSICAL_ADDR1" xr10:uid="{24C52438-A6E5-4429-ABFA-FD0B4A422951}" sourceName="PHYSICAL ADDR">
  <pivotTables>
    <pivotTable tabId="20" name="PivotTable9"/>
  </pivotTables>
  <data>
    <tabular pivotCacheId="1579074490">
      <items count="376">
        <i x="363" s="1"/>
        <i x="124" s="1"/>
        <i x="49" s="1"/>
        <i x="47" s="1"/>
        <i x="277" s="1"/>
        <i x="256" s="1"/>
        <i x="234" s="1"/>
        <i x="185" s="1"/>
        <i x="118" s="1"/>
        <i x="159" s="1"/>
        <i x="312" s="1"/>
        <i x="1" s="1"/>
        <i x="28" s="1"/>
        <i x="314" s="1"/>
        <i x="35" s="1"/>
        <i x="359" s="1"/>
        <i x="166" s="1"/>
        <i x="272" s="1"/>
        <i x="160" s="1"/>
        <i x="210" s="1"/>
        <i x="293" s="1"/>
        <i x="183" s="1"/>
        <i x="126" s="1"/>
        <i x="365" s="1"/>
        <i x="56" s="1"/>
        <i x="42" s="1"/>
        <i x="251" s="1"/>
        <i x="336" s="1"/>
        <i x="128" s="1"/>
        <i x="63" s="1"/>
        <i x="260" s="1"/>
        <i x="356" s="1"/>
        <i x="90" s="1"/>
        <i x="285" s="1"/>
        <i x="150" s="1"/>
        <i x="37" s="1"/>
        <i x="165" s="1"/>
        <i x="71" s="1"/>
        <i x="216" s="1"/>
        <i x="345" s="1"/>
        <i x="347" s="1"/>
        <i x="149" s="1"/>
        <i x="211" s="1"/>
        <i x="44" s="1"/>
        <i x="266" s="1"/>
        <i x="213" s="1"/>
        <i x="190" s="1"/>
        <i x="278" s="1"/>
        <i x="355" s="1"/>
        <i x="341" s="1"/>
        <i x="367" s="1"/>
        <i x="254" s="1"/>
        <i x="205" s="1"/>
        <i x="243" s="1"/>
        <i x="5" s="1"/>
        <i x="174" s="1"/>
        <i x="325" s="1"/>
        <i x="86" s="1"/>
        <i x="157" s="1"/>
        <i x="335" s="1"/>
        <i x="330" s="1"/>
        <i x="339" s="1"/>
        <i x="16" s="1"/>
        <i x="139" s="1"/>
        <i x="101" s="1"/>
        <i x="354" s="1"/>
        <i x="283" s="1"/>
        <i x="143" s="1"/>
        <i x="244" s="1"/>
        <i x="340" s="1"/>
        <i x="221" s="1"/>
        <i x="108" s="1"/>
        <i x="228" s="1"/>
        <i x="247" s="1"/>
        <i x="229" s="1"/>
        <i x="135" s="1"/>
        <i x="88" s="1"/>
        <i x="370" s="1"/>
        <i x="206" s="1"/>
        <i x="26" s="1"/>
        <i x="284" s="1"/>
        <i x="346" s="1"/>
        <i x="100" s="1"/>
        <i x="144" s="1"/>
        <i x="232" s="1"/>
        <i x="112" s="1"/>
        <i x="353" s="1"/>
        <i x="89" s="1"/>
        <i x="74" s="1"/>
        <i x="362" s="1"/>
        <i x="236" s="1"/>
        <i x="73" s="1"/>
        <i x="275" s="1"/>
        <i x="368" s="1"/>
        <i x="204" s="1"/>
        <i x="281" s="1"/>
        <i x="250" s="1"/>
        <i x="223" s="1"/>
        <i x="34" s="1"/>
        <i x="122" s="1"/>
        <i x="366" s="1"/>
        <i x="269" s="1"/>
        <i x="352" s="1"/>
        <i x="291" s="1"/>
        <i x="109" s="1"/>
        <i x="46" s="1"/>
        <i x="12" s="1"/>
        <i x="76" s="1"/>
        <i x="334" s="1"/>
        <i x="373" s="1"/>
        <i x="55" s="1"/>
        <i x="360" s="1"/>
        <i x="10" s="1"/>
        <i x="64" s="1"/>
        <i x="120" s="1"/>
        <i x="72" s="1"/>
        <i x="307" s="1"/>
        <i x="132" s="1"/>
        <i x="350" s="1"/>
        <i x="110" s="1"/>
        <i x="196" s="1"/>
        <i x="158" s="1"/>
        <i x="372" s="1"/>
        <i x="209" s="1"/>
        <i x="337" s="1"/>
        <i x="92" s="1"/>
        <i x="239" s="1"/>
        <i x="240" s="1"/>
        <i x="39" s="1"/>
        <i x="194" s="1"/>
        <i x="241" s="1"/>
        <i x="87" s="1"/>
        <i x="173" s="1"/>
        <i x="197" s="1"/>
        <i x="38" s="1"/>
        <i x="329" s="1"/>
        <i x="134" s="1"/>
        <i x="319" s="1"/>
        <i x="18" s="1"/>
        <i x="296" s="1"/>
        <i x="68" s="1"/>
        <i x="371" s="1"/>
        <i x="361" s="1"/>
        <i x="7" s="1"/>
        <i x="186" s="1"/>
        <i x="81" s="1"/>
        <i x="31" s="1"/>
        <i x="313" s="1"/>
        <i x="305" s="1"/>
        <i x="172" s="1"/>
        <i x="164" s="1"/>
        <i x="233" s="1"/>
        <i x="246" s="1"/>
        <i x="178" s="1"/>
        <i x="179" s="1"/>
        <i x="181" s="1"/>
        <i x="187" s="1"/>
        <i x="271" s="1"/>
        <i x="60" s="1"/>
        <i x="263" s="1"/>
        <i x="58" s="1"/>
        <i x="133" s="1"/>
        <i x="142" s="1"/>
        <i x="67" s="1"/>
        <i x="301" s="1"/>
        <i x="201" s="1"/>
        <i x="310" s="1"/>
        <i x="220" s="1"/>
        <i x="214" s="1"/>
        <i x="282" s="1"/>
        <i x="85" s="1"/>
        <i x="342" s="1"/>
        <i x="32" s="1"/>
        <i x="180" s="1"/>
        <i x="286" s="1"/>
        <i x="29" s="1"/>
        <i x="195" s="1"/>
        <i x="151" s="1"/>
        <i x="287" s="1"/>
        <i x="2" s="1"/>
        <i x="203" s="1"/>
        <i x="9" s="1"/>
        <i x="273" s="1"/>
        <i x="268" s="1"/>
        <i x="130" s="1"/>
        <i x="357" s="1"/>
        <i x="127" s="1"/>
        <i x="169" s="1"/>
        <i x="265" s="1"/>
        <i x="103" s="1"/>
        <i x="114" s="1"/>
        <i x="65" s="1"/>
        <i x="193" s="1"/>
        <i x="230" s="1"/>
        <i x="255" s="1"/>
        <i x="163" s="1"/>
        <i x="177" s="1"/>
        <i x="294" s="1"/>
        <i x="333" s="1"/>
        <i x="267" s="1"/>
        <i x="316" s="1"/>
        <i x="96" s="1"/>
        <i x="188" s="1"/>
        <i x="8" s="1"/>
        <i x="171" s="1"/>
        <i x="51" s="1"/>
        <i x="168" s="1"/>
        <i x="153" s="1"/>
        <i x="343" s="1"/>
        <i x="344" s="1"/>
        <i x="115" s="1"/>
        <i x="138" s="1"/>
        <i x="227" s="1"/>
        <i x="155" s="1"/>
        <i x="317" s="1"/>
        <i x="50" s="1"/>
        <i x="302" s="1"/>
        <i x="0" s="1"/>
        <i x="176" s="1"/>
        <i x="184" s="1"/>
        <i x="199" s="1"/>
        <i x="43" s="1"/>
        <i x="13" s="1"/>
        <i x="19" s="1"/>
        <i x="79" s="1"/>
        <i x="75" s="1"/>
        <i x="175" s="1"/>
        <i x="33" s="1"/>
        <i x="288" s="1"/>
        <i x="290" s="1"/>
        <i x="289" s="1"/>
        <i x="136" s="1"/>
        <i x="224" s="1"/>
        <i x="54" s="1"/>
        <i x="198" s="1"/>
        <i x="264" s="1"/>
        <i x="27" s="1"/>
        <i x="25" s="1"/>
        <i x="59" s="1"/>
        <i x="40" s="1"/>
        <i x="259" s="1"/>
        <i x="258" s="1"/>
        <i x="226" s="1"/>
        <i x="245" s="1"/>
        <i x="358" s="1"/>
        <i x="119" s="1"/>
        <i x="52" s="1"/>
        <i x="217" s="1"/>
        <i x="252" s="1"/>
        <i x="116" s="1"/>
        <i x="117" s="1"/>
        <i x="202" s="1"/>
        <i x="131" s="1"/>
        <i x="161" s="1"/>
        <i x="97" s="1"/>
        <i x="200" s="1"/>
        <i x="123" s="1"/>
        <i x="102" s="1"/>
        <i x="98" s="1"/>
        <i x="218" s="1"/>
        <i x="104" s="1"/>
        <i x="66" s="1"/>
        <i x="298" s="1"/>
        <i x="338" s="1"/>
        <i x="276" s="1"/>
        <i x="295" s="1"/>
        <i x="323" s="1"/>
        <i x="270" s="1"/>
        <i x="3" s="1"/>
        <i x="95" s="1"/>
        <i x="182" s="1"/>
        <i x="253" s="1"/>
        <i x="192" s="1"/>
        <i x="30" s="1"/>
        <i x="152" s="1"/>
        <i x="62" s="1"/>
        <i x="280" s="1"/>
        <i x="322" s="1"/>
        <i x="156" s="1"/>
        <i x="4" s="1"/>
        <i x="22" s="1"/>
        <i x="21" s="1"/>
        <i x="154" s="1"/>
        <i x="326" s="1"/>
        <i x="17" s="1"/>
        <i x="225" s="1"/>
        <i x="93" s="1"/>
        <i x="94" s="1"/>
        <i x="162" s="1"/>
        <i x="14" s="1"/>
        <i x="292" s="1"/>
        <i x="262" s="1"/>
        <i x="57" s="1"/>
        <i x="351" s="1"/>
        <i x="129" s="1"/>
        <i x="332" s="1"/>
        <i x="331" s="1"/>
        <i x="299" s="1"/>
        <i x="121" s="1"/>
        <i x="189" s="1"/>
        <i x="82" s="1"/>
        <i x="20" s="1"/>
        <i x="324" s="1"/>
        <i x="78" s="1"/>
        <i x="53" s="1"/>
        <i x="83" s="1"/>
        <i x="318" s="1"/>
        <i x="99" s="1"/>
        <i x="303" s="1"/>
        <i x="306" s="1"/>
        <i x="375" s="1"/>
        <i x="279" s="1"/>
        <i x="349" s="1"/>
        <i x="248" s="1"/>
        <i x="191" s="1"/>
        <i x="274" s="1"/>
        <i x="137" s="1"/>
        <i x="311" s="1"/>
        <i x="249" s="1"/>
        <i x="106" s="1"/>
        <i x="80" s="1"/>
        <i x="208" s="1"/>
        <i x="315" s="1"/>
        <i x="238" s="1"/>
        <i x="309" s="1"/>
        <i x="369" s="1"/>
        <i x="111" s="1"/>
        <i x="167" s="1"/>
        <i x="328" s="1"/>
        <i x="105" s="1"/>
        <i x="320" s="1"/>
        <i x="148" s="1"/>
        <i x="147" s="1"/>
        <i x="41" s="1"/>
        <i x="231" s="1"/>
        <i x="235" s="1"/>
        <i x="374" s="1"/>
        <i x="145" s="1"/>
        <i x="237" s="1"/>
        <i x="300" s="1"/>
        <i x="113" s="1"/>
        <i x="348" s="1"/>
        <i x="11" s="1"/>
        <i x="84" s="1"/>
        <i x="146" s="1"/>
        <i x="308" s="1"/>
        <i x="125" s="1"/>
        <i x="297" s="1"/>
        <i x="24" s="1"/>
        <i x="140" s="1"/>
        <i x="304" s="1"/>
        <i x="77" s="1"/>
        <i x="257" s="1"/>
        <i x="321" s="1"/>
        <i x="91" s="1"/>
        <i x="327" s="1"/>
        <i x="6" s="1"/>
        <i x="212" s="1"/>
        <i x="69" s="1"/>
        <i x="207" s="1"/>
        <i x="261" s="1"/>
        <i x="141" s="1"/>
        <i x="48" s="1"/>
        <i x="222" s="1"/>
        <i x="364" s="1"/>
        <i x="45" s="1"/>
        <i x="23" s="1"/>
        <i x="15" s="1"/>
        <i x="70" s="1"/>
        <i x="170" s="1"/>
        <i x="242" s="1"/>
        <i x="36" s="1"/>
        <i x="107" s="1"/>
        <i x="215" s="1"/>
        <i x="219" s="1"/>
        <i x="6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1" xr10:uid="{A6483DE5-686A-4A11-B3AD-A2FBF24FBD3E}" sourceName="DISTRICT">
  <pivotTables>
    <pivotTable tabId="20" name="PivotTable9"/>
  </pivotTables>
  <data>
    <tabular pivotCacheId="1579074490">
      <items count="12">
        <i x="10" s="1"/>
        <i x="5" s="1"/>
        <i x="2" s="1"/>
        <i x="1" s="1"/>
        <i x="8" s="1"/>
        <i x="11" s="1"/>
        <i x="6" s="1"/>
        <i x="4" s="1"/>
        <i x="3" s="1"/>
        <i x="7" s="1"/>
        <i x="9"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__STATE__ZIP1" xr10:uid="{CD3CAE64-2F4B-4F11-9EC0-2C06A5BF91AB}" sourceName="CITY, STATE, ZIP">
  <pivotTables>
    <pivotTable tabId="20" name="PivotTable9"/>
  </pivotTables>
  <data>
    <tabular pivotCacheId="1579074490">
      <items count="273">
        <i x="83" s="1"/>
        <i x="188" s="1"/>
        <i x="124" s="1"/>
        <i x="182" s="1"/>
        <i x="207" s="1"/>
        <i x="153" s="1"/>
        <i x="111" s="1"/>
        <i x="35" s="1"/>
        <i x="11" s="1"/>
        <i x="99" s="1"/>
        <i x="243" s="1"/>
        <i x="246" s="1"/>
        <i x="38" s="1"/>
        <i x="18" s="1"/>
        <i x="235" s="1"/>
        <i x="171" s="1"/>
        <i x="214" s="1"/>
        <i x="193" s="1"/>
        <i x="105" s="1"/>
        <i x="44" s="1"/>
        <i x="115" s="1"/>
        <i x="87" s="1"/>
        <i x="116" s="1"/>
        <i x="77" s="1"/>
        <i x="202" s="1"/>
        <i x="101" s="1"/>
        <i x="36" s="1"/>
        <i x="142" s="1"/>
        <i x="174" s="1"/>
        <i x="237" s="1"/>
        <i x="92" s="1"/>
        <i x="240" s="1"/>
        <i x="180" s="1"/>
        <i x="103" s="1"/>
        <i x="97" s="1"/>
        <i x="175" s="1"/>
        <i x="269" s="1"/>
        <i x="52" s="1"/>
        <i x="121" s="1"/>
        <i x="179" s="1"/>
        <i x="120" s="1"/>
        <i x="135" s="1"/>
        <i x="248" s="1"/>
        <i x="33" s="1"/>
        <i x="184" s="1"/>
        <i x="151" s="1"/>
        <i x="89" s="1"/>
        <i x="168" s="1"/>
        <i x="39" s="1"/>
        <i x="263" s="1"/>
        <i x="71" s="1"/>
        <i x="90" s="1"/>
        <i x="159" s="1"/>
        <i x="47" s="1"/>
        <i x="249" s="1"/>
        <i x="20" s="1"/>
        <i x="9" s="1"/>
        <i x="50" s="1"/>
        <i x="0" s="1"/>
        <i x="96" s="1"/>
        <i x="12" s="1"/>
        <i x="117" s="1"/>
        <i x="78" s="1"/>
        <i x="197" s="1"/>
        <i x="40" s="1"/>
        <i x="113" s="1"/>
        <i x="98" s="1"/>
        <i x="251" s="1"/>
        <i x="8" s="1"/>
        <i x="223" s="1"/>
        <i x="213" s="1"/>
        <i x="176" s="1"/>
        <i x="59" s="1"/>
        <i x="79" s="1"/>
        <i x="177" s="1"/>
        <i x="260" s="1"/>
        <i x="257" s="1"/>
        <i x="185" s="1"/>
        <i x="186" s="1"/>
        <i x="74" s="1"/>
        <i x="152" s="1"/>
        <i x="102" s="1"/>
        <i x="216" s="1"/>
        <i x="217" s="1"/>
        <i x="266" s="1"/>
        <i x="15" s="1"/>
        <i x="67" s="1"/>
        <i x="183" s="1"/>
        <i x="41" s="1"/>
        <i x="25" s="1"/>
        <i x="138" s="1"/>
        <i x="187" s="1"/>
        <i x="218" s="1"/>
        <i x="255" s="1"/>
        <i x="139" s="1"/>
        <i x="72" s="1"/>
        <i x="198" s="1"/>
        <i x="208" s="1"/>
        <i x="131" s="1"/>
        <i x="201" s="1"/>
        <i x="169" s="1"/>
        <i x="233" s="1"/>
        <i x="242" s="1"/>
        <i x="75" s="1"/>
        <i x="238" s="1"/>
        <i x="63" s="1"/>
        <i x="239" s="1"/>
        <i x="42" s="1"/>
        <i x="118" s="1"/>
        <i x="73" s="1"/>
        <i x="215" s="1"/>
        <i x="65" s="1"/>
        <i x="140" s="1"/>
        <i x="264" s="1"/>
        <i x="161" s="1"/>
        <i x="4" s="1"/>
        <i x="149" s="1"/>
        <i x="54" s="1"/>
        <i x="219" s="1"/>
        <i x="70" s="1"/>
        <i x="241" s="1"/>
        <i x="95" s="1"/>
        <i x="244" s="1"/>
        <i x="62" s="1"/>
        <i x="81" s="1"/>
        <i x="58" s="1"/>
        <i x="194" s="1"/>
        <i x="212" s="1"/>
        <i x="150" s="1"/>
        <i x="110" s="1"/>
        <i x="196" s="1"/>
        <i x="53" s="1"/>
        <i x="189" s="1"/>
        <i x="28" s="1"/>
        <i x="172" s="1"/>
        <i x="123" s="1"/>
        <i x="93" s="1"/>
        <i x="107" s="1"/>
        <i x="267" s="1"/>
        <i x="272" s="1"/>
        <i x="254" s="1"/>
        <i x="26" s="1"/>
        <i x="204" s="1"/>
        <i x="21" s="1"/>
        <i x="108" s="1"/>
        <i x="225" s="1"/>
        <i x="29" s="1"/>
        <i x="224" s="1"/>
        <i x="190" s="1"/>
        <i x="211" s="1"/>
        <i x="122" s="1"/>
        <i x="7" s="1"/>
        <i x="13" s="1"/>
        <i x="14" s="1"/>
        <i x="250" s="1"/>
        <i x="43" s="1"/>
        <i x="157" s="1"/>
        <i x="10" s="1"/>
        <i x="137" s="1"/>
        <i x="61" s="1"/>
        <i x="24" s="1"/>
        <i x="162" s="1"/>
        <i x="94" s="1"/>
        <i x="55" s="1"/>
        <i x="195" s="1"/>
        <i x="205" s="1"/>
        <i x="60" s="1"/>
        <i x="252" s="1"/>
        <i x="48" s="1"/>
        <i x="166" s="1"/>
        <i x="91" s="1"/>
        <i x="154" s="1"/>
        <i x="261" s="1"/>
        <i x="51" s="1"/>
        <i x="271" s="1"/>
        <i x="156" s="1"/>
        <i x="17" s="1"/>
        <i x="164" s="1"/>
        <i x="30" s="1"/>
        <i x="49" s="1"/>
        <i x="181" s="1"/>
        <i x="56" s="1"/>
        <i x="132" s="1"/>
        <i x="57" s="1"/>
        <i x="231" s="1"/>
        <i x="112" s="1"/>
        <i x="247" s="1"/>
        <i x="167" s="1"/>
        <i x="220" s="1"/>
        <i x="245" s="1"/>
        <i x="191" s="1"/>
        <i x="1" s="1"/>
        <i x="32" s="1"/>
        <i x="109" s="1"/>
        <i x="119" s="1"/>
        <i x="37" s="1"/>
        <i x="147" s="1"/>
        <i x="141" s="1"/>
        <i x="64" s="1"/>
        <i x="134" s="1"/>
        <i x="125" s="1"/>
        <i x="80" s="1"/>
        <i x="206" s="1"/>
        <i x="256" s="1"/>
        <i x="209" s="1"/>
        <i x="5" s="1"/>
        <i x="258" s="1"/>
        <i x="221" s="1"/>
        <i x="133" s="1"/>
        <i x="22" s="1"/>
        <i x="31" s="1"/>
        <i x="222" s="1"/>
        <i x="2" s="1"/>
        <i x="27" s="1"/>
        <i x="259" s="1"/>
        <i x="192" s="1"/>
        <i x="234" s="1"/>
        <i x="143" s="1"/>
        <i x="158" s="1"/>
        <i x="236" s="1"/>
        <i x="68" s="1"/>
        <i x="46" s="1"/>
        <i x="23" s="1"/>
        <i x="6" s="1"/>
        <i x="136" s="1"/>
        <i x="226" s="1"/>
        <i x="230" s="1"/>
        <i x="227" s="1"/>
        <i x="199" s="1"/>
        <i x="265" s="1"/>
        <i x="170" s="1"/>
        <i x="86" s="1"/>
        <i x="228" s="1"/>
        <i x="76" s="1"/>
        <i x="84" s="1"/>
        <i x="210" s="1"/>
        <i x="165" s="1"/>
        <i x="200" s="1"/>
        <i x="144" s="1"/>
        <i x="126" s="1"/>
        <i x="145" s="1"/>
        <i x="69" s="1"/>
        <i x="104" s="1"/>
        <i x="262" s="1"/>
        <i x="3" s="1"/>
        <i x="203" s="1"/>
        <i x="127" s="1"/>
        <i x="232" s="1"/>
        <i x="82" s="1"/>
        <i x="253" s="1"/>
        <i x="16" s="1"/>
        <i x="173" s="1"/>
        <i x="163" s="1"/>
        <i x="128" s="1"/>
        <i x="45" s="1"/>
        <i x="66" s="1"/>
        <i x="270" s="1"/>
        <i x="229" s="1"/>
        <i x="106" s="1"/>
        <i x="85" s="1"/>
        <i x="155" s="1"/>
        <i x="114" s="1"/>
        <i x="88" s="1"/>
        <i x="160" s="1"/>
        <i x="129" s="1"/>
        <i x="100" s="1"/>
        <i x="130" s="1"/>
        <i x="19" s="1"/>
        <i x="178" s="1"/>
        <i x="146" s="1"/>
        <i x="34" s="1"/>
        <i x="268" s="1"/>
        <i x="148"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_PRVCE" xr10:uid="{8E82F672-F918-48BD-B9A0-3A349BB54C01}" sourceName="ST_PRVCE">
  <pivotTables>
    <pivotTable tabId="20" name="PivotTable9"/>
  </pivotTables>
  <data>
    <tabular pivotCacheId="1579074490">
      <items count="6">
        <i x="2" s="1"/>
        <i x="4" s="1"/>
        <i x="5" s="1"/>
        <i x="0" s="1"/>
        <i x="1" s="1"/>
        <i x="3"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E9709261-F565-48D7-980E-4B727238762B}" sourceName="COUNTY">
  <pivotTables>
    <pivotTable tabId="20" name="PivotTable9"/>
  </pivotTables>
  <data>
    <tabular pivotCacheId="1579074490">
      <items count="90">
        <i x="77" s="1"/>
        <i x="70" s="1"/>
        <i x="22" s="1"/>
        <i x="51" s="1"/>
        <i x="37" s="1"/>
        <i x="89" s="1"/>
        <i x="20" s="1"/>
        <i x="29" s="1"/>
        <i x="25" s="1"/>
        <i x="52" s="1"/>
        <i x="56" s="1"/>
        <i x="81" s="1"/>
        <i x="63" s="1"/>
        <i x="12" s="1"/>
        <i x="7" s="1"/>
        <i x="65" s="1"/>
        <i x="85" s="1"/>
        <i x="26" s="1"/>
        <i x="71" s="1"/>
        <i x="0" s="1"/>
        <i x="34" s="1"/>
        <i x="74" s="1"/>
        <i x="31" s="1"/>
        <i x="60" s="1"/>
        <i x="66" s="1"/>
        <i x="69" s="1"/>
        <i x="35" s="1"/>
        <i x="68" s="1"/>
        <i x="16" s="1"/>
        <i x="55" s="1"/>
        <i x="27" s="1"/>
        <i x="21" s="1"/>
        <i x="76" s="1"/>
        <i x="83" s="1"/>
        <i x="53" s="1"/>
        <i x="41" s="1"/>
        <i x="32" s="1"/>
        <i x="43" s="1"/>
        <i x="33" s="1"/>
        <i x="44" s="1"/>
        <i x="30" s="1"/>
        <i x="82" s="1"/>
        <i x="80" s="1"/>
        <i x="42" s="1"/>
        <i x="1" s="1"/>
        <i x="18" s="1"/>
        <i x="28" s="1"/>
        <i x="47" s="1"/>
        <i x="19" s="1"/>
        <i x="67" s="1"/>
        <i x="17" s="1"/>
        <i x="6" s="1"/>
        <i x="54" s="1"/>
        <i x="86" s="1"/>
        <i x="13" s="1"/>
        <i x="40" s="1"/>
        <i x="24" s="1"/>
        <i x="11" s="1"/>
        <i x="73" s="1"/>
        <i x="59" s="1"/>
        <i x="14" s="1"/>
        <i x="36" s="1"/>
        <i x="48" s="1"/>
        <i x="4" s="1"/>
        <i x="62" s="1"/>
        <i x="64" s="1"/>
        <i x="49" s="1"/>
        <i x="9" s="1"/>
        <i x="88" s="1"/>
        <i x="78" s="1"/>
        <i x="58" s="1"/>
        <i x="61" s="1"/>
        <i x="8" s="1"/>
        <i x="87" s="1"/>
        <i x="50" s="1"/>
        <i x="10" s="1"/>
        <i x="5" s="1"/>
        <i x="2" s="1"/>
        <i x="79" s="1"/>
        <i x="45" s="1"/>
        <i x="84" s="1"/>
        <i x="75" s="1"/>
        <i x="57" s="1"/>
        <i x="15" s="1"/>
        <i x="72" s="1"/>
        <i x="39" s="1"/>
        <i x="38" s="1"/>
        <i x="23" s="1"/>
        <i x="46" s="1"/>
        <i x="3"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R_SUPP_NM" xr10:uid="{1B495AC7-CCD9-415A-AAC4-75936B9B3E1D}" sourceName="PRODR_SUPP_NM">
  <pivotTables>
    <pivotTable tabId="20" name="PivotTable9"/>
  </pivotTables>
  <data>
    <tabular pivotCacheId="1579074490">
      <items count="544">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20" s="1"/>
        <i x="321" s="1"/>
        <i x="322" s="1"/>
        <i x="323" s="1"/>
        <i x="324" s="1"/>
        <i x="325" s="1"/>
        <i x="326" s="1"/>
        <i x="327" s="1"/>
        <i x="328" s="1"/>
        <i x="329" s="1"/>
        <i x="330" s="1"/>
        <i x="331" s="1"/>
        <i x="332" s="1"/>
        <i x="333" s="1"/>
        <i x="334" s="1"/>
        <i x="335" s="1"/>
        <i x="336" s="1"/>
        <i x="337" s="1"/>
        <i x="338" s="1"/>
        <i x="339" s="1"/>
        <i x="340" s="1"/>
        <i x="341" s="1"/>
        <i x="342" s="1"/>
        <i x="343" s="1"/>
        <i x="344" s="1"/>
        <i x="345" s="1"/>
        <i x="346" s="1"/>
        <i x="347" s="1"/>
        <i x="348" s="1"/>
        <i x="349" s="1"/>
        <i x="350" s="1"/>
        <i x="351" s="1"/>
        <i x="352" s="1"/>
        <i x="353" s="1"/>
        <i x="354" s="1"/>
        <i x="355" s="1"/>
        <i x="356" s="1"/>
        <i x="357" s="1"/>
        <i x="358" s="1"/>
        <i x="359" s="1"/>
        <i x="360" s="1"/>
        <i x="361" s="1"/>
        <i x="362" s="1"/>
        <i x="363" s="1"/>
        <i x="364" s="1"/>
        <i x="365" s="1"/>
        <i x="366" s="1"/>
        <i x="367" s="1"/>
        <i x="368" s="1"/>
        <i x="369" s="1"/>
        <i x="370" s="1"/>
        <i x="371" s="1"/>
        <i x="372" s="1"/>
        <i x="373" s="1"/>
        <i x="374" s="1"/>
        <i x="375" s="1"/>
        <i x="376" s="1"/>
        <i x="377" s="1"/>
        <i x="378" s="1"/>
        <i x="379" s="1"/>
        <i x="380" s="1"/>
        <i x="381" s="1"/>
        <i x="382" s="1"/>
        <i x="383" s="1"/>
        <i x="384" s="1"/>
        <i x="385" s="1"/>
        <i x="386" s="1"/>
        <i x="387" s="1"/>
        <i x="388" s="1"/>
        <i x="389" s="1"/>
        <i x="390" s="1"/>
        <i x="391" s="1"/>
        <i x="392" s="1"/>
        <i x="393" s="1"/>
        <i x="394" s="1"/>
        <i x="395" s="1"/>
        <i x="396" s="1"/>
        <i x="397" s="1"/>
        <i x="398" s="1"/>
        <i x="399" s="1"/>
        <i x="400" s="1"/>
        <i x="401" s="1"/>
        <i x="402" s="1"/>
        <i x="403" s="1"/>
        <i x="404" s="1"/>
        <i x="405" s="1"/>
        <i x="406" s="1"/>
        <i x="407" s="1"/>
        <i x="408" s="1"/>
        <i x="409" s="1"/>
        <i x="410" s="1"/>
        <i x="411" s="1"/>
        <i x="412" s="1"/>
        <i x="413" s="1"/>
        <i x="414" s="1"/>
        <i x="415" s="1"/>
        <i x="416" s="1"/>
        <i x="417" s="1"/>
        <i x="418" s="1"/>
        <i x="419" s="1"/>
        <i x="420" s="1"/>
        <i x="421" s="1"/>
        <i x="422" s="1"/>
        <i x="423" s="1"/>
        <i x="424" s="1"/>
        <i x="425" s="1"/>
        <i x="426" s="1"/>
        <i x="427" s="1"/>
        <i x="428" s="1"/>
        <i x="429" s="1"/>
        <i x="430" s="1"/>
        <i x="431" s="1"/>
        <i x="432" s="1"/>
        <i x="433" s="1"/>
        <i x="434" s="1"/>
        <i x="435" s="1"/>
        <i x="436" s="1"/>
        <i x="437" s="1"/>
        <i x="438" s="1"/>
        <i x="439" s="1"/>
        <i x="440" s="1"/>
        <i x="441" s="1"/>
        <i x="442" s="1"/>
        <i x="443" s="1"/>
        <i x="444" s="1"/>
        <i x="445" s="1"/>
        <i x="446" s="1"/>
        <i x="447" s="1"/>
        <i x="448" s="1"/>
        <i x="449" s="1"/>
        <i x="450" s="1"/>
        <i x="451" s="1"/>
        <i x="452" s="1"/>
        <i x="453" s="1"/>
        <i x="454" s="1"/>
        <i x="455" s="1"/>
        <i x="456" s="1"/>
        <i x="457" s="1"/>
        <i x="458" s="1"/>
        <i x="459" s="1"/>
        <i x="460" s="1"/>
        <i x="461" s="1"/>
        <i x="462" s="1"/>
        <i x="463" s="1"/>
        <i x="464" s="1"/>
        <i x="465" s="1"/>
        <i x="466" s="1"/>
        <i x="467" s="1"/>
        <i x="468" s="1"/>
        <i x="469" s="1"/>
        <i x="470" s="1"/>
        <i x="471" s="1"/>
        <i x="472" s="1"/>
        <i x="473" s="1"/>
        <i x="474" s="1"/>
        <i x="475" s="1"/>
        <i x="476" s="1"/>
        <i x="477" s="1"/>
        <i x="478" s="1"/>
        <i x="479" s="1"/>
        <i x="480" s="1"/>
        <i x="481" s="1"/>
        <i x="482" s="1"/>
        <i x="483" s="1"/>
        <i x="484" s="1"/>
        <i x="485" s="1"/>
        <i x="486" s="1"/>
        <i x="487" s="1"/>
        <i x="488" s="1"/>
        <i x="489" s="1"/>
        <i x="490" s="1"/>
        <i x="491" s="1"/>
        <i x="492" s="1"/>
        <i x="493" s="1"/>
        <i x="494" s="1"/>
        <i x="495" s="1"/>
        <i x="496" s="1"/>
        <i x="497" s="1"/>
        <i x="498" s="1"/>
        <i x="499" s="1"/>
        <i x="500" s="1"/>
        <i x="501" s="1"/>
        <i x="502" s="1"/>
        <i x="503" s="1"/>
        <i x="504" s="1"/>
        <i x="505" s="1"/>
        <i x="506" s="1"/>
        <i x="507" s="1"/>
        <i x="508" s="1"/>
        <i x="509" s="1"/>
        <i x="510" s="1"/>
        <i x="511" s="1"/>
        <i x="512" s="1"/>
        <i x="513" s="1"/>
        <i x="514" s="1"/>
        <i x="515" s="1"/>
        <i x="516" s="1"/>
        <i x="517" s="1"/>
        <i x="518" s="1"/>
        <i x="519" s="1"/>
        <i x="520" s="1"/>
        <i x="521" s="1"/>
        <i x="522" s="1"/>
        <i x="523" s="1"/>
        <i x="524" s="1"/>
        <i x="525" s="1"/>
        <i x="526" s="1"/>
        <i x="527" s="1"/>
        <i x="528" s="1"/>
        <i x="529" s="1"/>
        <i x="530" s="1"/>
        <i x="531" s="1"/>
        <i x="532" s="1"/>
        <i x="533" s="1"/>
        <i x="534" s="1"/>
        <i x="535" s="1"/>
        <i x="536" s="1"/>
        <i x="537" s="1"/>
        <i x="538" s="1"/>
        <i x="539" s="1"/>
        <i x="540" s="1"/>
        <i x="541" s="1"/>
        <i x="542" s="1"/>
        <i x="54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YSICAL ADDR 1" xr10:uid="{B614B933-9D67-42B3-916D-BAAABA09AD86}" cache="Slicer_PHYSICAL_ADDR1" caption="PHYSICAL ADDR" rowHeight="225425"/>
  <slicer name="DISTRICT 1" xr10:uid="{AAF57FC1-665E-49FF-B703-D20AA0AB1DEF}" cache="Slicer_DISTRICT1" caption="DISTRICT" rowHeight="225425"/>
  <slicer name="CITY, STATE, ZIP 1" xr10:uid="{76E599A0-9921-4CAB-AAA1-0E0C002663D8}" cache="Slicer_CITY__STATE__ZIP1" caption="CITY, STATE, ZIP" rowHeight="225425"/>
  <slicer name="ST_PRVCE" xr10:uid="{B02C9005-457B-47D9-ABD2-F10F1013CD9A}" cache="Slicer_ST_PRVCE" caption="ST_PRVCE" rowHeight="225425"/>
  <slicer name="COUNTY" xr10:uid="{20C9C8D9-7C0C-4AE9-8D17-7D33D6523F1B}" cache="Slicer_COUNTY" caption="COUNTY" rowHeight="225425"/>
  <slicer name="PRODR_SUPP_NM" xr10:uid="{E9A65851-6290-45C9-AA9E-CF06E4FFD789}" cache="Slicer_PRODR_SUPP_NM" caption="PRODR_SUPP_NM" startItem="179" rowHeight="22542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1:N56"/>
  <sheetViews>
    <sheetView showGridLines="0" topLeftCell="A4" zoomScaleNormal="100" workbookViewId="0">
      <selection activeCell="B17" sqref="B17"/>
    </sheetView>
  </sheetViews>
  <sheetFormatPr defaultRowHeight="12.75" x14ac:dyDescent="0.2"/>
  <cols>
    <col min="1" max="1" width="78.85546875" customWidth="1"/>
    <col min="2" max="2" width="86.42578125" customWidth="1"/>
    <col min="3" max="3" width="2.5703125" customWidth="1"/>
    <col min="4" max="4" width="4.5703125" customWidth="1"/>
    <col min="5" max="5" width="5.28515625" customWidth="1"/>
    <col min="6" max="6" width="20.85546875" bestFit="1" customWidth="1"/>
    <col min="7" max="8" width="10.85546875" bestFit="1" customWidth="1"/>
    <col min="9" max="9" width="5" bestFit="1" customWidth="1"/>
    <col min="10" max="10" width="7.85546875" customWidth="1"/>
    <col min="11" max="11" width="10.5703125" customWidth="1"/>
    <col min="12" max="12" width="6.42578125" customWidth="1"/>
    <col min="13" max="13" width="9.5703125" customWidth="1"/>
    <col min="14" max="14" width="5.28515625" customWidth="1"/>
  </cols>
  <sheetData>
    <row r="1" spans="1:14" ht="12.75" customHeight="1" x14ac:dyDescent="0.2">
      <c r="A1" s="154" t="str">
        <f>Header!A1</f>
        <v>800-22 Aggregate  1/28/21</v>
      </c>
      <c r="B1" s="154"/>
      <c r="C1" s="154"/>
      <c r="D1" s="154"/>
      <c r="E1" s="154"/>
      <c r="F1" s="154"/>
      <c r="G1" s="154"/>
      <c r="H1" s="154"/>
      <c r="I1" s="154"/>
      <c r="J1" s="154"/>
      <c r="K1" s="154"/>
      <c r="L1" s="154"/>
      <c r="M1" s="154"/>
      <c r="N1" s="154"/>
    </row>
    <row r="2" spans="1:14" x14ac:dyDescent="0.2">
      <c r="A2" s="154" t="s">
        <v>56</v>
      </c>
      <c r="B2" s="154"/>
      <c r="C2" s="154"/>
      <c r="D2" s="154"/>
      <c r="E2" s="154"/>
      <c r="F2" s="154"/>
      <c r="G2" s="154"/>
      <c r="H2" s="154"/>
      <c r="I2" s="154"/>
      <c r="J2" s="154"/>
      <c r="K2" s="154"/>
      <c r="L2" s="154"/>
      <c r="M2" s="154"/>
      <c r="N2" s="154"/>
    </row>
    <row r="3" spans="1:14" ht="35.25" x14ac:dyDescent="0.2">
      <c r="A3" s="152" t="s">
        <v>3455</v>
      </c>
      <c r="B3" s="153"/>
      <c r="C3" s="97"/>
      <c r="D3" s="97"/>
      <c r="E3" s="97"/>
      <c r="N3" s="99"/>
    </row>
    <row r="4" spans="1:14" ht="15" customHeight="1" x14ac:dyDescent="0.2">
      <c r="A4" s="152"/>
      <c r="B4" s="153"/>
      <c r="C4" s="97"/>
      <c r="D4" s="97"/>
    </row>
    <row r="5" spans="1:14" ht="15" customHeight="1" x14ac:dyDescent="0.2">
      <c r="A5" s="149"/>
      <c r="B5" s="149"/>
      <c r="C5" s="149"/>
      <c r="D5" s="149"/>
      <c r="E5" s="149"/>
      <c r="F5" s="149"/>
      <c r="G5" s="149"/>
      <c r="H5" s="149"/>
      <c r="I5" s="149"/>
      <c r="J5" s="149"/>
      <c r="K5" s="149"/>
      <c r="L5" s="149"/>
      <c r="M5" s="149"/>
      <c r="N5" s="149"/>
    </row>
    <row r="6" spans="1:14" ht="15" customHeight="1" x14ac:dyDescent="0.2">
      <c r="A6" s="14" t="s">
        <v>61</v>
      </c>
      <c r="B6" s="120" t="s">
        <v>613</v>
      </c>
      <c r="C6" s="54" t="s">
        <v>32</v>
      </c>
      <c r="D6" s="54"/>
    </row>
    <row r="7" spans="1:14" ht="15" customHeight="1" x14ac:dyDescent="0.2">
      <c r="C7" s="54"/>
      <c r="D7" s="54"/>
    </row>
    <row r="8" spans="1:14" ht="15" customHeight="1" x14ac:dyDescent="0.2">
      <c r="A8" s="123" t="s">
        <v>2871</v>
      </c>
      <c r="B8" s="121" t="s">
        <v>968</v>
      </c>
      <c r="C8" s="122"/>
      <c r="D8" s="54"/>
      <c r="E8" s="157"/>
      <c r="F8" s="160"/>
      <c r="G8" s="160"/>
      <c r="H8" s="160"/>
      <c r="I8" s="160"/>
      <c r="J8" s="160"/>
      <c r="K8" s="160"/>
      <c r="L8" s="160"/>
      <c r="M8" s="160"/>
      <c r="N8" s="161"/>
    </row>
    <row r="9" spans="1:14" ht="15" customHeight="1" x14ac:dyDescent="0.2">
      <c r="A9" s="15" t="s">
        <v>62</v>
      </c>
      <c r="B9" s="111" t="str">
        <f>INDEX(PS!$C$1:$C$625,MATCH(B8,PS!$B$1:$B$625,0))</f>
        <v>LAFARGE-MARBLEHEAD "OSBORNE-CLEVELAND"</v>
      </c>
      <c r="C9" s="54" t="s">
        <v>34</v>
      </c>
      <c r="D9" s="54"/>
      <c r="E9" s="158"/>
      <c r="F9" s="155" t="s">
        <v>2868</v>
      </c>
      <c r="G9" s="156"/>
      <c r="H9" s="156"/>
      <c r="I9" s="156"/>
      <c r="J9" s="156"/>
      <c r="K9" s="156"/>
      <c r="L9" s="156"/>
      <c r="M9" s="156"/>
      <c r="N9" s="162"/>
    </row>
    <row r="10" spans="1:14" ht="15" customHeight="1" x14ac:dyDescent="0.2">
      <c r="A10" s="15" t="s">
        <v>63</v>
      </c>
      <c r="B10" s="111" t="str">
        <f>INDEX(PS!$D$1:$D$625,MATCH(B8,PS!$B$1:$B$625,0))</f>
        <v>04105-28</v>
      </c>
      <c r="C10" s="54" t="s">
        <v>35</v>
      </c>
      <c r="D10" s="54"/>
      <c r="E10" s="158"/>
      <c r="F10" s="156"/>
      <c r="G10" s="156"/>
      <c r="H10" s="156"/>
      <c r="I10" s="156"/>
      <c r="J10" s="156"/>
      <c r="K10" s="156"/>
      <c r="L10" s="156"/>
      <c r="M10" s="156"/>
      <c r="N10" s="162"/>
    </row>
    <row r="11" spans="1:14" ht="15" customHeight="1" x14ac:dyDescent="0.2">
      <c r="A11" s="15" t="s">
        <v>2862</v>
      </c>
      <c r="B11" s="111" t="str">
        <f>INDEX(PS!$G$1:$G$625,MATCH(B8,PS!$B$1:$B$625,0))</f>
        <v>2100 CENTRAL FURNACE ROAD</v>
      </c>
      <c r="C11" s="54"/>
      <c r="D11" s="54"/>
      <c r="E11" s="158"/>
      <c r="F11" s="156"/>
      <c r="G11" s="156"/>
      <c r="H11" s="156"/>
      <c r="I11" s="156"/>
      <c r="J11" s="156"/>
      <c r="K11" s="156"/>
      <c r="L11" s="156"/>
      <c r="M11" s="156"/>
      <c r="N11" s="162"/>
    </row>
    <row r="12" spans="1:14" ht="15" customHeight="1" x14ac:dyDescent="0.2">
      <c r="A12" s="15" t="s">
        <v>64</v>
      </c>
      <c r="B12" s="111" t="str">
        <f>INDEX(PS!$E$1:$E$625,MATCH(B8,PS!$B$1:$B$625,0))</f>
        <v>CLEVELAND, OH, 44115</v>
      </c>
      <c r="C12" s="54" t="s">
        <v>36</v>
      </c>
      <c r="D12" s="54"/>
      <c r="E12" s="158"/>
      <c r="F12" s="156"/>
      <c r="G12" s="156"/>
      <c r="H12" s="156"/>
      <c r="I12" s="156"/>
      <c r="J12" s="156"/>
      <c r="K12" s="156"/>
      <c r="L12" s="156"/>
      <c r="M12" s="156"/>
      <c r="N12" s="162"/>
    </row>
    <row r="13" spans="1:14" ht="15" customHeight="1" x14ac:dyDescent="0.2">
      <c r="A13" s="15" t="s">
        <v>2752</v>
      </c>
      <c r="B13" s="111" t="str">
        <f>INDEX(PS!$H$1:$H$625,MATCH(B8,PS!$B$1:$B$625,0))</f>
        <v>12</v>
      </c>
      <c r="C13" s="54"/>
      <c r="D13" s="54"/>
      <c r="E13" s="158"/>
      <c r="F13" s="156"/>
      <c r="G13" s="156"/>
      <c r="H13" s="156"/>
      <c r="I13" s="156"/>
      <c r="J13" s="156"/>
      <c r="K13" s="156"/>
      <c r="L13" s="156"/>
      <c r="M13" s="156"/>
      <c r="N13" s="162"/>
    </row>
    <row r="14" spans="1:14" ht="15" customHeight="1" x14ac:dyDescent="0.2">
      <c r="A14" s="15" t="s">
        <v>2861</v>
      </c>
      <c r="B14" s="111" t="str">
        <f>INDEX(PS!$I$1:$I$625,MATCH(B8,PS!$B$1:$B$625,0))</f>
        <v>CUY</v>
      </c>
      <c r="C14" s="54" t="s">
        <v>37</v>
      </c>
      <c r="D14" s="54"/>
      <c r="E14" s="158"/>
      <c r="F14" s="156"/>
      <c r="G14" s="156"/>
      <c r="H14" s="156"/>
      <c r="I14" s="156"/>
      <c r="J14" s="156"/>
      <c r="K14" s="156"/>
      <c r="L14" s="156"/>
      <c r="M14" s="156"/>
      <c r="N14" s="162"/>
    </row>
    <row r="15" spans="1:14" ht="15" customHeight="1" x14ac:dyDescent="0.2">
      <c r="A15" s="15" t="s">
        <v>65</v>
      </c>
      <c r="B15" s="92" t="s">
        <v>3458</v>
      </c>
      <c r="C15" s="119" t="s">
        <v>38</v>
      </c>
      <c r="D15" s="119"/>
      <c r="E15" s="158"/>
      <c r="F15" s="156"/>
      <c r="G15" s="156"/>
      <c r="H15" s="156"/>
      <c r="I15" s="156"/>
      <c r="J15" s="156"/>
      <c r="K15" s="156"/>
      <c r="L15" s="156"/>
      <c r="M15" s="156"/>
      <c r="N15" s="162"/>
    </row>
    <row r="16" spans="1:14" ht="15" customHeight="1" x14ac:dyDescent="0.2">
      <c r="A16" s="15" t="s">
        <v>66</v>
      </c>
      <c r="B16" s="92" t="s">
        <v>3459</v>
      </c>
      <c r="C16" s="119" t="s">
        <v>39</v>
      </c>
      <c r="D16" s="119"/>
      <c r="E16" s="158"/>
      <c r="F16" s="156"/>
      <c r="G16" s="156"/>
      <c r="H16" s="156"/>
      <c r="I16" s="156"/>
      <c r="J16" s="156"/>
      <c r="K16" s="156"/>
      <c r="L16" s="156"/>
      <c r="M16" s="156"/>
      <c r="N16" s="162"/>
    </row>
    <row r="17" spans="1:14" ht="15" customHeight="1" x14ac:dyDescent="0.2">
      <c r="A17" s="15" t="s">
        <v>67</v>
      </c>
      <c r="B17" s="92">
        <v>60</v>
      </c>
      <c r="C17" s="119" t="s">
        <v>40</v>
      </c>
      <c r="D17" s="119"/>
      <c r="E17" s="158"/>
      <c r="F17" s="156"/>
      <c r="G17" s="156"/>
      <c r="H17" s="156"/>
      <c r="I17" s="156"/>
      <c r="J17" s="156"/>
      <c r="K17" s="156"/>
      <c r="L17" s="156"/>
      <c r="M17" s="156"/>
      <c r="N17" s="162"/>
    </row>
    <row r="18" spans="1:14" ht="15" customHeight="1" x14ac:dyDescent="0.2">
      <c r="A18" s="15" t="s">
        <v>68</v>
      </c>
      <c r="B18" s="92">
        <v>1000</v>
      </c>
      <c r="C18" s="19"/>
      <c r="D18" s="19"/>
      <c r="E18" s="158"/>
      <c r="F18" s="156"/>
      <c r="G18" s="156"/>
      <c r="H18" s="156"/>
      <c r="I18" s="156"/>
      <c r="J18" s="156"/>
      <c r="K18" s="156"/>
      <c r="L18" s="156"/>
      <c r="M18" s="156"/>
      <c r="N18" s="162"/>
    </row>
    <row r="19" spans="1:14" ht="15" customHeight="1" x14ac:dyDescent="0.2">
      <c r="A19" s="15" t="s">
        <v>69</v>
      </c>
      <c r="B19" s="92" t="s">
        <v>3460</v>
      </c>
      <c r="C19" s="19"/>
      <c r="D19" s="19"/>
      <c r="E19" s="159"/>
      <c r="F19" s="160"/>
      <c r="G19" s="160"/>
      <c r="H19" s="160"/>
      <c r="I19" s="160"/>
      <c r="J19" s="160"/>
      <c r="K19" s="160"/>
      <c r="L19" s="160"/>
      <c r="M19" s="160"/>
      <c r="N19" s="163"/>
    </row>
    <row r="20" spans="1:14" ht="15" customHeight="1" x14ac:dyDescent="0.2">
      <c r="A20" s="15" t="s">
        <v>70</v>
      </c>
      <c r="B20" s="92">
        <v>2</v>
      </c>
      <c r="C20" s="19"/>
      <c r="D20" s="19"/>
      <c r="E20" s="19"/>
    </row>
    <row r="21" spans="1:14" ht="15" customHeight="1" x14ac:dyDescent="0.2">
      <c r="A21" s="15" t="s">
        <v>71</v>
      </c>
      <c r="B21" s="112">
        <v>1</v>
      </c>
      <c r="C21" s="19"/>
      <c r="D21" s="19"/>
      <c r="E21" s="19"/>
    </row>
    <row r="22" spans="1:14" ht="30" x14ac:dyDescent="0.4">
      <c r="A22" s="18" t="s">
        <v>73</v>
      </c>
      <c r="B22" s="93" t="s">
        <v>3460</v>
      </c>
      <c r="C22" s="128" t="s">
        <v>2875</v>
      </c>
      <c r="D22" s="119"/>
      <c r="E22" s="119"/>
    </row>
    <row r="23" spans="1:14" ht="15" customHeight="1" x14ac:dyDescent="0.2">
      <c r="A23" s="18" t="s">
        <v>27</v>
      </c>
      <c r="B23" s="93" t="s">
        <v>3461</v>
      </c>
      <c r="C23" s="119" t="s">
        <v>41</v>
      </c>
      <c r="D23" s="119"/>
      <c r="E23" s="119"/>
    </row>
    <row r="24" spans="1:14" ht="15" customHeight="1" x14ac:dyDescent="0.2">
      <c r="A24" s="15" t="s">
        <v>72</v>
      </c>
      <c r="B24" s="92" t="s">
        <v>3460</v>
      </c>
      <c r="C24" s="119" t="s">
        <v>42</v>
      </c>
      <c r="D24" s="119"/>
      <c r="E24" s="119"/>
    </row>
    <row r="25" spans="1:14" ht="12.75" customHeight="1" x14ac:dyDescent="0.2">
      <c r="A25" s="150" t="s">
        <v>2870</v>
      </c>
      <c r="B25" s="150"/>
      <c r="C25" s="96"/>
      <c r="D25" s="96"/>
      <c r="E25" s="96"/>
    </row>
    <row r="26" spans="1:14" x14ac:dyDescent="0.2">
      <c r="A26" s="151"/>
      <c r="B26" s="151"/>
      <c r="C26" s="96"/>
      <c r="D26" s="96"/>
      <c r="E26" s="96"/>
    </row>
    <row r="27" spans="1:14" x14ac:dyDescent="0.2">
      <c r="A27" s="151"/>
      <c r="B27" s="151"/>
      <c r="C27" s="96"/>
      <c r="D27" s="96"/>
      <c r="E27" s="96"/>
    </row>
    <row r="28" spans="1:14" x14ac:dyDescent="0.2">
      <c r="A28" s="151"/>
      <c r="B28" s="151"/>
    </row>
    <row r="30" spans="1:14" s="5" customFormat="1" ht="15" x14ac:dyDescent="0.2">
      <c r="A30" s="126">
        <v>1</v>
      </c>
      <c r="B30" s="125" t="s">
        <v>2874</v>
      </c>
      <c r="C30" s="125"/>
      <c r="D30" s="125"/>
      <c r="E30" s="8"/>
    </row>
    <row r="31" spans="1:14" s="5" customFormat="1" ht="15" x14ac:dyDescent="0.2">
      <c r="A31" s="126"/>
      <c r="B31" s="125"/>
      <c r="C31" s="125"/>
      <c r="D31" s="125"/>
      <c r="E31" s="8"/>
    </row>
    <row r="32" spans="1:14" s="6" customFormat="1" ht="15" x14ac:dyDescent="0.2">
      <c r="A32" s="126">
        <v>2</v>
      </c>
      <c r="B32" s="125" t="s">
        <v>2872</v>
      </c>
      <c r="C32" s="125"/>
      <c r="D32" s="125"/>
      <c r="E32" s="8"/>
    </row>
    <row r="33" spans="1:14" ht="15" x14ac:dyDescent="0.2">
      <c r="A33" s="127"/>
      <c r="B33" s="124"/>
      <c r="C33" s="124"/>
      <c r="D33" s="124"/>
      <c r="E33" s="4"/>
    </row>
    <row r="34" spans="1:14" ht="15" x14ac:dyDescent="0.2">
      <c r="A34" s="127">
        <v>3</v>
      </c>
      <c r="B34" s="124" t="s">
        <v>2873</v>
      </c>
      <c r="C34" s="124"/>
      <c r="D34" s="124"/>
      <c r="E34" s="4"/>
    </row>
    <row r="35" spans="1:14" ht="15" x14ac:dyDescent="0.2">
      <c r="A35" s="127"/>
      <c r="B35" s="124"/>
      <c r="C35" s="124"/>
      <c r="D35" s="124"/>
      <c r="E35" s="4"/>
    </row>
    <row r="36" spans="1:14" ht="15.75" x14ac:dyDescent="0.25">
      <c r="A36" s="127">
        <v>4</v>
      </c>
      <c r="B36" s="124" t="s">
        <v>3456</v>
      </c>
      <c r="C36" s="124"/>
      <c r="D36" s="124"/>
      <c r="E36" s="4"/>
    </row>
    <row r="37" spans="1:14" x14ac:dyDescent="0.2">
      <c r="A37" s="149"/>
      <c r="B37" s="149"/>
      <c r="C37" s="149"/>
      <c r="D37" s="149"/>
      <c r="E37" s="149"/>
      <c r="F37" s="149"/>
      <c r="G37" s="149"/>
      <c r="H37" s="149"/>
      <c r="I37" s="149"/>
      <c r="J37" s="149"/>
      <c r="K37" s="149"/>
      <c r="L37" s="149"/>
      <c r="M37" s="149"/>
      <c r="N37" s="149"/>
    </row>
    <row r="38" spans="1:14" x14ac:dyDescent="0.2">
      <c r="A38" s="118"/>
      <c r="B38" s="118"/>
      <c r="C38" s="118"/>
      <c r="D38" s="118"/>
      <c r="E38" s="118"/>
      <c r="F38" s="118"/>
      <c r="G38" s="118"/>
      <c r="H38" s="118"/>
      <c r="I38" s="118"/>
      <c r="J38" s="118"/>
    </row>
    <row r="39" spans="1:14" x14ac:dyDescent="0.2">
      <c r="A39" s="118"/>
      <c r="B39" s="118"/>
      <c r="C39" s="118"/>
      <c r="D39" s="118"/>
      <c r="E39" s="118"/>
      <c r="F39" s="118"/>
      <c r="G39" s="118"/>
      <c r="H39" s="118"/>
      <c r="I39" s="118"/>
      <c r="J39" s="118"/>
    </row>
    <row r="40" spans="1:14" x14ac:dyDescent="0.2">
      <c r="A40" s="118"/>
      <c r="B40" s="118"/>
      <c r="C40" s="118"/>
      <c r="D40" s="118"/>
      <c r="E40" s="118"/>
      <c r="F40" s="118"/>
      <c r="G40" s="118"/>
      <c r="H40" s="118"/>
      <c r="I40" s="118"/>
      <c r="J40" s="118"/>
    </row>
    <row r="41" spans="1:14" x14ac:dyDescent="0.2">
      <c r="A41" s="118"/>
      <c r="B41" s="118"/>
      <c r="C41" s="118"/>
      <c r="D41" s="118"/>
      <c r="E41" s="118"/>
      <c r="F41" s="118"/>
      <c r="G41" s="118"/>
      <c r="H41" s="118"/>
      <c r="I41" s="118"/>
      <c r="J41" s="118"/>
    </row>
    <row r="42" spans="1:14" x14ac:dyDescent="0.2">
      <c r="A42" s="118"/>
      <c r="B42" s="118"/>
      <c r="C42" s="118"/>
      <c r="D42" s="118"/>
      <c r="E42" s="118"/>
      <c r="F42" s="118"/>
      <c r="G42" s="118"/>
      <c r="H42" s="118"/>
      <c r="I42" s="118"/>
      <c r="J42" s="118"/>
    </row>
    <row r="43" spans="1:14" x14ac:dyDescent="0.2">
      <c r="A43" s="118"/>
      <c r="B43" s="118"/>
      <c r="C43" s="118"/>
      <c r="D43" s="118"/>
      <c r="E43" s="118"/>
      <c r="F43" s="118"/>
      <c r="G43" s="118"/>
      <c r="H43" s="118"/>
      <c r="I43" s="118"/>
      <c r="J43" s="118"/>
    </row>
    <row r="44" spans="1:14" x14ac:dyDescent="0.2">
      <c r="A44" s="118"/>
      <c r="B44" s="118"/>
      <c r="C44" s="118"/>
      <c r="D44" s="118"/>
      <c r="E44" s="118"/>
      <c r="F44" s="118"/>
      <c r="G44" s="118"/>
      <c r="H44" s="118"/>
      <c r="I44" s="118"/>
      <c r="J44" s="118"/>
    </row>
    <row r="45" spans="1:14" x14ac:dyDescent="0.2">
      <c r="A45" s="118"/>
      <c r="B45" s="118"/>
      <c r="C45" s="118"/>
      <c r="D45" s="118"/>
      <c r="E45" s="118"/>
      <c r="F45" s="118"/>
      <c r="G45" s="118"/>
      <c r="H45" s="118"/>
      <c r="I45" s="118"/>
      <c r="J45" s="118"/>
    </row>
    <row r="46" spans="1:14" x14ac:dyDescent="0.2">
      <c r="A46" s="118"/>
      <c r="B46" s="118"/>
      <c r="C46" s="118"/>
      <c r="D46" s="118"/>
      <c r="E46" s="118"/>
      <c r="F46" s="118"/>
      <c r="G46" s="118"/>
      <c r="H46" s="118"/>
      <c r="I46" s="118"/>
      <c r="J46" s="118"/>
    </row>
    <row r="47" spans="1:14" x14ac:dyDescent="0.2">
      <c r="A47" s="118"/>
      <c r="B47" s="118"/>
      <c r="C47" s="118"/>
      <c r="D47" s="118"/>
      <c r="E47" s="118"/>
      <c r="F47" s="118"/>
      <c r="G47" s="118"/>
      <c r="H47" s="118"/>
      <c r="I47" s="118"/>
      <c r="J47" s="118"/>
    </row>
    <row r="48" spans="1:14" x14ac:dyDescent="0.2">
      <c r="A48" s="118"/>
      <c r="B48" s="118"/>
      <c r="C48" s="118"/>
      <c r="D48" s="118"/>
      <c r="E48" s="118"/>
      <c r="F48" s="118"/>
      <c r="G48" s="118"/>
      <c r="H48" s="118"/>
      <c r="I48" s="118"/>
      <c r="J48" s="118"/>
    </row>
    <row r="49" spans="1:10" x14ac:dyDescent="0.2">
      <c r="A49" s="118"/>
      <c r="B49" s="118"/>
      <c r="C49" s="118"/>
      <c r="D49" s="118"/>
      <c r="E49" s="118"/>
      <c r="F49" s="118"/>
      <c r="G49" s="118"/>
      <c r="H49" s="118"/>
      <c r="I49" s="118"/>
      <c r="J49" s="118"/>
    </row>
    <row r="50" spans="1:10" x14ac:dyDescent="0.2">
      <c r="A50" s="118"/>
      <c r="B50" s="118"/>
      <c r="C50" s="118"/>
      <c r="D50" s="118"/>
      <c r="E50" s="118"/>
      <c r="F50" s="118"/>
      <c r="G50" s="118"/>
      <c r="H50" s="118"/>
      <c r="I50" s="118"/>
      <c r="J50" s="118"/>
    </row>
    <row r="51" spans="1:10" x14ac:dyDescent="0.2">
      <c r="A51" s="118"/>
      <c r="B51" s="118"/>
      <c r="C51" s="118"/>
      <c r="D51" s="118"/>
      <c r="E51" s="118"/>
      <c r="F51" s="118"/>
      <c r="G51" s="118"/>
      <c r="H51" s="118"/>
      <c r="I51" s="118"/>
      <c r="J51" s="118"/>
    </row>
    <row r="52" spans="1:10" x14ac:dyDescent="0.2">
      <c r="A52" s="118"/>
      <c r="B52" s="118"/>
      <c r="C52" s="118"/>
      <c r="D52" s="118"/>
      <c r="E52" s="118"/>
      <c r="F52" s="118"/>
      <c r="G52" s="118"/>
      <c r="H52" s="118"/>
      <c r="I52" s="118"/>
      <c r="J52" s="118"/>
    </row>
    <row r="53" spans="1:10" x14ac:dyDescent="0.2">
      <c r="A53" s="118"/>
      <c r="B53" s="118"/>
      <c r="C53" s="118"/>
      <c r="D53" s="118"/>
      <c r="E53" s="118"/>
      <c r="F53" s="118"/>
      <c r="G53" s="118"/>
      <c r="H53" s="118"/>
      <c r="I53" s="118"/>
      <c r="J53" s="118"/>
    </row>
    <row r="54" spans="1:10" x14ac:dyDescent="0.2">
      <c r="A54" s="118"/>
      <c r="B54" s="118"/>
      <c r="C54" s="118"/>
      <c r="D54" s="118"/>
      <c r="E54" s="118"/>
      <c r="F54" s="118"/>
      <c r="G54" s="118"/>
      <c r="H54" s="118"/>
      <c r="I54" s="118"/>
      <c r="J54" s="118"/>
    </row>
    <row r="55" spans="1:10" x14ac:dyDescent="0.2">
      <c r="A55" s="118"/>
      <c r="B55" s="118"/>
      <c r="C55" s="118"/>
      <c r="D55" s="118"/>
      <c r="E55" s="118"/>
      <c r="F55" s="118"/>
      <c r="G55" s="118"/>
      <c r="H55" s="118"/>
      <c r="I55" s="118"/>
      <c r="J55" s="118"/>
    </row>
    <row r="56" spans="1:10" x14ac:dyDescent="0.2">
      <c r="A56" s="118"/>
      <c r="B56" s="118"/>
      <c r="C56" s="118"/>
      <c r="D56" s="118"/>
      <c r="E56" s="118"/>
      <c r="F56" s="118"/>
      <c r="G56" s="118"/>
      <c r="H56" s="118"/>
      <c r="I56" s="118"/>
      <c r="J56" s="118"/>
    </row>
  </sheetData>
  <sheetProtection algorithmName="SHA-512" hashValue="hLPPUrkk3NOeZsNX+j2BVxNjPWppdp/moeHxRvisLQ8CV23kzWD1xl4AGRb2pQFEryO3nfR1Iv0qSq/WZYlOBA==" saltValue="ZA30zgSjOfaVdeL6HuReJA==" spinCount="100000" sheet="1" selectLockedCells="1" pivotTables="0"/>
  <mergeCells count="11">
    <mergeCell ref="A5:N5"/>
    <mergeCell ref="A37:N37"/>
    <mergeCell ref="A25:B28"/>
    <mergeCell ref="A3:B4"/>
    <mergeCell ref="A1:N1"/>
    <mergeCell ref="A2:N2"/>
    <mergeCell ref="F9:M18"/>
    <mergeCell ref="E8:E19"/>
    <mergeCell ref="F19:M19"/>
    <mergeCell ref="F8:M8"/>
    <mergeCell ref="N8:N19"/>
  </mergeCells>
  <phoneticPr fontId="1" type="noConversion"/>
  <dataValidations count="1">
    <dataValidation type="list" allowBlank="1" showInputMessage="1" showErrorMessage="1" sqref="B8" xr:uid="{00000000-0002-0000-0000-000001000000}">
      <formula1>PSP</formula1>
    </dataValidation>
  </dataValidations>
  <pageMargins left="0.25" right="0.25" top="1" bottom="1" header="0.5" footer="0.5"/>
  <pageSetup scale="85" orientation="portrait" horizontalDpi="96" verticalDpi="96"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5E37-5A46-4047-B7B9-AB05619D7C1D}">
  <sheetPr codeName="Sheet11">
    <tabColor rgb="FFFF0000"/>
    <pageSetUpPr fitToPage="1"/>
  </sheetPr>
  <dimension ref="A1:M653"/>
  <sheetViews>
    <sheetView showGridLines="0" topLeftCell="A219" zoomScaleNormal="100" workbookViewId="0">
      <selection activeCell="A220" sqref="B13"/>
    </sheetView>
  </sheetViews>
  <sheetFormatPr defaultRowHeight="12.75" x14ac:dyDescent="0.2"/>
  <cols>
    <col min="1" max="1" width="76.140625" customWidth="1"/>
    <col min="2" max="2" width="46.5703125" customWidth="1"/>
    <col min="3" max="3" width="18" customWidth="1"/>
    <col min="4" max="4" width="46.85546875" customWidth="1"/>
    <col min="5" max="7" width="10.85546875" bestFit="1" customWidth="1"/>
    <col min="8" max="8" width="7.85546875" customWidth="1"/>
    <col min="9" max="9" width="3.85546875" customWidth="1"/>
    <col min="10" max="10" width="6.42578125" customWidth="1"/>
    <col min="11" max="11" width="9.5703125" customWidth="1"/>
    <col min="12" max="12" width="5.5703125" customWidth="1"/>
  </cols>
  <sheetData>
    <row r="1" spans="1:12" ht="12.75" customHeight="1" x14ac:dyDescent="0.2">
      <c r="A1" s="164" t="s">
        <v>3454</v>
      </c>
      <c r="B1" s="164"/>
      <c r="C1" s="164"/>
      <c r="D1" s="164"/>
      <c r="E1" s="164"/>
      <c r="F1" s="164"/>
      <c r="G1" s="164"/>
      <c r="H1" s="164"/>
      <c r="I1" s="164"/>
      <c r="J1" s="164"/>
      <c r="K1" s="164"/>
      <c r="L1" s="99"/>
    </row>
    <row r="2" spans="1:12" x14ac:dyDescent="0.2">
      <c r="A2" s="164"/>
      <c r="B2" s="164"/>
      <c r="C2" s="164"/>
      <c r="D2" s="164"/>
      <c r="E2" s="164"/>
      <c r="F2" s="164"/>
      <c r="G2" s="164"/>
      <c r="H2" s="164"/>
      <c r="I2" s="164"/>
      <c r="J2" s="164"/>
      <c r="K2" s="164"/>
      <c r="L2" s="99"/>
    </row>
    <row r="3" spans="1:12" x14ac:dyDescent="0.2">
      <c r="A3" s="164"/>
      <c r="B3" s="164"/>
      <c r="C3" s="164"/>
      <c r="D3" s="164"/>
      <c r="E3" s="164"/>
      <c r="F3" s="164"/>
      <c r="G3" s="164"/>
      <c r="H3" s="164"/>
      <c r="I3" s="164"/>
      <c r="J3" s="164"/>
      <c r="K3" s="164"/>
      <c r="L3" s="99"/>
    </row>
    <row r="4" spans="1:12" x14ac:dyDescent="0.2">
      <c r="A4" s="164"/>
      <c r="B4" s="164"/>
      <c r="C4" s="164"/>
      <c r="D4" s="164"/>
      <c r="E4" s="164"/>
      <c r="F4" s="164"/>
      <c r="G4" s="164"/>
      <c r="H4" s="164"/>
      <c r="I4" s="164"/>
      <c r="J4" s="164"/>
      <c r="K4" s="164"/>
      <c r="L4" s="99"/>
    </row>
    <row r="5" spans="1:12" x14ac:dyDescent="0.2">
      <c r="A5" s="164"/>
      <c r="B5" s="164"/>
      <c r="C5" s="164"/>
      <c r="D5" s="164"/>
      <c r="E5" s="164"/>
      <c r="F5" s="164"/>
      <c r="G5" s="164"/>
      <c r="H5" s="164"/>
      <c r="I5" s="164"/>
      <c r="J5" s="164"/>
      <c r="K5" s="164"/>
      <c r="L5" s="99"/>
    </row>
    <row r="6" spans="1:12" x14ac:dyDescent="0.2">
      <c r="A6" s="164"/>
      <c r="B6" s="164"/>
      <c r="C6" s="164"/>
      <c r="D6" s="164"/>
      <c r="E6" s="164"/>
      <c r="F6" s="164"/>
      <c r="G6" s="164"/>
      <c r="H6" s="164"/>
      <c r="I6" s="164"/>
      <c r="J6" s="164"/>
      <c r="K6" s="164"/>
      <c r="L6" s="99"/>
    </row>
    <row r="7" spans="1:12" x14ac:dyDescent="0.2">
      <c r="A7" s="164"/>
      <c r="B7" s="164"/>
      <c r="C7" s="164"/>
      <c r="D7" s="164"/>
      <c r="E7" s="164"/>
      <c r="F7" s="164"/>
      <c r="G7" s="164"/>
      <c r="H7" s="164"/>
      <c r="I7" s="164"/>
      <c r="J7" s="164"/>
      <c r="K7" s="164"/>
      <c r="L7" s="99"/>
    </row>
    <row r="8" spans="1:12" ht="13.5" customHeight="1" x14ac:dyDescent="0.2">
      <c r="A8" s="164"/>
      <c r="B8" s="164"/>
      <c r="C8" s="164"/>
      <c r="D8" s="164"/>
      <c r="E8" s="164"/>
      <c r="F8" s="164"/>
      <c r="G8" s="164"/>
      <c r="H8" s="164"/>
      <c r="I8" s="164"/>
      <c r="J8" s="164"/>
      <c r="K8" s="164"/>
      <c r="L8" s="99"/>
    </row>
    <row r="9" spans="1:12" ht="13.5" customHeight="1" x14ac:dyDescent="0.2">
      <c r="A9" s="164"/>
      <c r="B9" s="164"/>
      <c r="C9" s="164"/>
      <c r="D9" s="164"/>
      <c r="E9" s="164"/>
      <c r="F9" s="164"/>
      <c r="G9" s="164"/>
      <c r="H9" s="164"/>
      <c r="I9" s="164"/>
      <c r="J9" s="164"/>
      <c r="K9" s="164"/>
      <c r="L9" s="99"/>
    </row>
    <row r="10" spans="1:12" ht="13.5" customHeight="1" x14ac:dyDescent="0.2">
      <c r="A10" s="164"/>
      <c r="B10" s="164"/>
      <c r="C10" s="164"/>
      <c r="D10" s="164"/>
      <c r="E10" s="164"/>
      <c r="F10" s="164"/>
      <c r="G10" s="164"/>
      <c r="H10" s="164"/>
      <c r="I10" s="164"/>
      <c r="J10" s="164"/>
      <c r="K10" s="164"/>
      <c r="L10" s="99"/>
    </row>
    <row r="11" spans="1:12" ht="12.75" customHeight="1" x14ac:dyDescent="0.2">
      <c r="A11" s="164"/>
      <c r="B11" s="164"/>
      <c r="C11" s="164"/>
      <c r="D11" s="164"/>
      <c r="E11" s="164"/>
      <c r="F11" s="164"/>
      <c r="G11" s="164"/>
      <c r="H11" s="164"/>
      <c r="I11" s="164"/>
      <c r="J11" s="164"/>
      <c r="K11" s="164"/>
    </row>
    <row r="12" spans="1:12" x14ac:dyDescent="0.2">
      <c r="A12" s="113"/>
      <c r="B12" s="113"/>
      <c r="C12" s="54"/>
      <c r="D12" s="118"/>
      <c r="E12" s="118"/>
      <c r="F12" s="118"/>
      <c r="G12" s="118"/>
      <c r="H12" s="118"/>
      <c r="I12" s="118"/>
      <c r="J12" s="118"/>
      <c r="K12" s="118"/>
    </row>
    <row r="13" spans="1:12" x14ac:dyDescent="0.2">
      <c r="A13" s="114"/>
      <c r="B13" s="115" t="s">
        <v>2876</v>
      </c>
      <c r="C13" s="54" t="s">
        <v>33</v>
      </c>
      <c r="D13" s="118"/>
      <c r="E13" s="118"/>
      <c r="F13" s="118"/>
      <c r="G13" s="118"/>
      <c r="H13" s="118"/>
      <c r="I13" s="118"/>
      <c r="J13" s="118"/>
      <c r="K13" s="118"/>
    </row>
    <row r="14" spans="1:12" x14ac:dyDescent="0.2">
      <c r="A14" s="98"/>
      <c r="B14" s="116"/>
      <c r="C14" s="54" t="s">
        <v>34</v>
      </c>
      <c r="D14" s="118"/>
      <c r="E14" s="118"/>
      <c r="F14" s="118"/>
      <c r="G14" s="118"/>
      <c r="H14" s="118"/>
      <c r="I14" s="118"/>
      <c r="J14" s="118"/>
      <c r="K14" s="118"/>
    </row>
    <row r="15" spans="1:12" x14ac:dyDescent="0.2">
      <c r="A15" s="98"/>
      <c r="B15" s="116"/>
      <c r="C15" s="54" t="s">
        <v>35</v>
      </c>
      <c r="D15" s="118"/>
      <c r="E15" s="118"/>
      <c r="F15" s="118"/>
      <c r="G15" s="118"/>
      <c r="H15" s="118"/>
      <c r="I15" s="118"/>
      <c r="J15" s="118"/>
      <c r="K15" s="118"/>
    </row>
    <row r="16" spans="1:12" x14ac:dyDescent="0.2">
      <c r="A16" s="98"/>
      <c r="B16" s="116"/>
      <c r="C16" s="54"/>
      <c r="D16" s="118"/>
      <c r="E16" s="118"/>
      <c r="F16" s="118"/>
      <c r="G16" s="118"/>
      <c r="H16" s="118"/>
      <c r="I16" s="118"/>
      <c r="J16" s="118"/>
      <c r="K16" s="118"/>
    </row>
    <row r="17" spans="1:13" x14ac:dyDescent="0.2">
      <c r="A17" s="98"/>
      <c r="B17" s="116"/>
      <c r="C17" s="54" t="s">
        <v>36</v>
      </c>
      <c r="D17" s="118"/>
      <c r="E17" s="118"/>
      <c r="F17" s="118"/>
      <c r="G17" s="118"/>
      <c r="H17" s="118"/>
      <c r="I17" s="118"/>
      <c r="J17" s="118"/>
      <c r="K17" s="118"/>
    </row>
    <row r="18" spans="1:13" x14ac:dyDescent="0.2">
      <c r="A18" s="98"/>
      <c r="B18" s="116"/>
      <c r="C18" s="54"/>
      <c r="D18" s="118"/>
      <c r="E18" s="118"/>
      <c r="F18" s="118"/>
      <c r="G18" s="118"/>
      <c r="H18" s="118"/>
      <c r="I18" s="118"/>
      <c r="J18" s="118"/>
      <c r="K18" s="118"/>
    </row>
    <row r="19" spans="1:13" x14ac:dyDescent="0.2">
      <c r="A19" s="98"/>
      <c r="B19" s="116"/>
      <c r="C19" s="54" t="s">
        <v>37</v>
      </c>
      <c r="D19" s="118"/>
      <c r="E19" s="118"/>
      <c r="F19" s="118"/>
      <c r="G19" s="118"/>
      <c r="H19" s="118"/>
      <c r="I19" s="118"/>
      <c r="J19" s="118"/>
      <c r="K19" s="118"/>
    </row>
    <row r="20" spans="1:13" x14ac:dyDescent="0.2">
      <c r="A20" s="98"/>
      <c r="B20" s="117"/>
      <c r="C20" s="54" t="s">
        <v>38</v>
      </c>
      <c r="D20" s="118"/>
      <c r="E20" s="118"/>
      <c r="F20" s="118"/>
      <c r="G20" s="118"/>
      <c r="H20" s="118"/>
      <c r="I20" s="118"/>
      <c r="J20" s="118"/>
      <c r="K20" s="118"/>
    </row>
    <row r="21" spans="1:13" x14ac:dyDescent="0.2">
      <c r="A21" s="98"/>
      <c r="B21" s="117"/>
      <c r="C21" s="54" t="s">
        <v>39</v>
      </c>
      <c r="D21" s="118"/>
      <c r="E21" s="118"/>
      <c r="F21" s="118"/>
      <c r="G21" s="118"/>
      <c r="H21" s="118"/>
      <c r="I21" s="118"/>
      <c r="J21" s="118"/>
      <c r="K21" s="118"/>
    </row>
    <row r="22" spans="1:13" x14ac:dyDescent="0.2">
      <c r="A22" s="98"/>
      <c r="B22" s="117"/>
      <c r="C22" s="54" t="s">
        <v>40</v>
      </c>
      <c r="D22" s="118"/>
      <c r="E22" s="118"/>
      <c r="F22" s="118"/>
      <c r="G22" s="118"/>
      <c r="H22" s="118"/>
      <c r="I22" s="118"/>
      <c r="J22" s="118"/>
      <c r="K22" s="118"/>
    </row>
    <row r="23" spans="1:13" x14ac:dyDescent="0.2">
      <c r="A23" s="98"/>
      <c r="B23" s="117"/>
      <c r="D23" s="118"/>
      <c r="E23" s="118"/>
      <c r="F23" s="118"/>
      <c r="G23" s="118"/>
      <c r="H23" s="118"/>
      <c r="I23" s="118"/>
      <c r="J23" s="118"/>
      <c r="K23" s="118"/>
    </row>
    <row r="24" spans="1:13" ht="12.75" customHeight="1" x14ac:dyDescent="0.2">
      <c r="A24" s="98"/>
      <c r="B24" s="117"/>
      <c r="D24" s="118"/>
      <c r="E24" s="118"/>
      <c r="F24" s="118"/>
      <c r="G24" s="118"/>
      <c r="H24" s="118"/>
      <c r="I24" s="118"/>
      <c r="J24" s="118"/>
      <c r="K24" s="118"/>
    </row>
    <row r="26" spans="1:13" hidden="1" x14ac:dyDescent="0.2"/>
    <row r="27" spans="1:13" hidden="1" x14ac:dyDescent="0.2"/>
    <row r="29" spans="1:13" x14ac:dyDescent="0.2">
      <c r="A29" s="81"/>
      <c r="B29" s="82"/>
      <c r="C29" s="82"/>
      <c r="D29" s="82"/>
      <c r="E29" s="82"/>
      <c r="F29" s="82"/>
      <c r="G29" s="81"/>
      <c r="H29" s="82"/>
      <c r="I29" s="82"/>
      <c r="J29" s="82"/>
      <c r="K29" s="82"/>
      <c r="L29" s="83"/>
    </row>
    <row r="30" spans="1:13" s="69" customFormat="1" x14ac:dyDescent="0.2">
      <c r="A30" s="144" t="s">
        <v>2751</v>
      </c>
      <c r="B30" s="95" t="s">
        <v>2753</v>
      </c>
      <c r="C30" s="95" t="s">
        <v>2750</v>
      </c>
      <c r="D30" s="95" t="s">
        <v>2860</v>
      </c>
      <c r="E30" s="95" t="s">
        <v>2752</v>
      </c>
      <c r="F30" s="95" t="s">
        <v>2857</v>
      </c>
      <c r="G30" s="84"/>
      <c r="H30" s="85"/>
      <c r="I30" s="85"/>
      <c r="J30" s="85"/>
      <c r="K30" s="85"/>
      <c r="L30" s="86"/>
      <c r="M30"/>
    </row>
    <row r="31" spans="1:13" x14ac:dyDescent="0.2">
      <c r="A31" s="81" t="s">
        <v>2564</v>
      </c>
      <c r="B31" s="81" t="s">
        <v>2565</v>
      </c>
      <c r="C31" s="81" t="s">
        <v>2563</v>
      </c>
      <c r="D31" s="81" t="s">
        <v>3178</v>
      </c>
      <c r="E31" s="81" t="s">
        <v>2759</v>
      </c>
      <c r="F31" s="81" t="s">
        <v>2760</v>
      </c>
      <c r="G31" s="81"/>
      <c r="H31" s="82"/>
      <c r="I31" s="82"/>
      <c r="J31" s="82"/>
      <c r="K31" s="82"/>
      <c r="L31" s="83"/>
    </row>
    <row r="32" spans="1:13" x14ac:dyDescent="0.2">
      <c r="A32" s="81" t="s">
        <v>2555</v>
      </c>
      <c r="B32" s="81" t="s">
        <v>2556</v>
      </c>
      <c r="C32" s="81" t="s">
        <v>2554</v>
      </c>
      <c r="D32" s="81" t="s">
        <v>3179</v>
      </c>
      <c r="E32" s="81" t="s">
        <v>2759</v>
      </c>
      <c r="F32" s="81" t="s">
        <v>2761</v>
      </c>
      <c r="G32" s="84"/>
      <c r="H32" s="85"/>
      <c r="I32" s="85"/>
      <c r="J32" s="85"/>
      <c r="K32" s="85"/>
      <c r="L32" s="86"/>
    </row>
    <row r="33" spans="1:12" x14ac:dyDescent="0.2">
      <c r="A33" s="81" t="s">
        <v>1343</v>
      </c>
      <c r="B33" s="81" t="s">
        <v>1344</v>
      </c>
      <c r="C33" s="81" t="s">
        <v>1342</v>
      </c>
      <c r="D33" s="81" t="s">
        <v>3180</v>
      </c>
      <c r="E33" s="81" t="s">
        <v>2762</v>
      </c>
      <c r="F33" s="81" t="s">
        <v>2763</v>
      </c>
      <c r="G33" s="84"/>
      <c r="H33" s="85"/>
      <c r="I33" s="85"/>
      <c r="J33" s="85"/>
      <c r="K33" s="85"/>
      <c r="L33" s="86"/>
    </row>
    <row r="34" spans="1:12" x14ac:dyDescent="0.2">
      <c r="A34" s="81" t="s">
        <v>2559</v>
      </c>
      <c r="B34" s="81" t="s">
        <v>2560</v>
      </c>
      <c r="C34" s="81" t="s">
        <v>2558</v>
      </c>
      <c r="D34" s="81" t="s">
        <v>3181</v>
      </c>
      <c r="E34" s="81" t="s">
        <v>2759</v>
      </c>
      <c r="F34" s="81" t="s">
        <v>2760</v>
      </c>
      <c r="G34" s="84"/>
      <c r="H34" s="85"/>
      <c r="I34" s="85"/>
      <c r="J34" s="85"/>
      <c r="K34" s="85"/>
      <c r="L34" s="86"/>
    </row>
    <row r="35" spans="1:12" x14ac:dyDescent="0.2">
      <c r="A35" s="81" t="s">
        <v>2572</v>
      </c>
      <c r="B35" s="81" t="s">
        <v>2573</v>
      </c>
      <c r="C35" s="81" t="s">
        <v>2571</v>
      </c>
      <c r="D35" s="81" t="s">
        <v>3179</v>
      </c>
      <c r="E35" s="81" t="s">
        <v>2759</v>
      </c>
      <c r="F35" s="81" t="s">
        <v>2761</v>
      </c>
      <c r="G35" s="84"/>
      <c r="H35" s="85"/>
      <c r="I35" s="85"/>
      <c r="J35" s="85"/>
      <c r="K35" s="85"/>
      <c r="L35" s="86"/>
    </row>
    <row r="36" spans="1:12" x14ac:dyDescent="0.2">
      <c r="A36" s="81" t="s">
        <v>1455</v>
      </c>
      <c r="B36" s="81" t="s">
        <v>1456</v>
      </c>
      <c r="C36" s="81" t="s">
        <v>1454</v>
      </c>
      <c r="D36" s="81" t="s">
        <v>3182</v>
      </c>
      <c r="E36" s="81" t="s">
        <v>2762</v>
      </c>
      <c r="F36" s="81" t="s">
        <v>2764</v>
      </c>
      <c r="G36" s="84"/>
      <c r="H36" s="85"/>
      <c r="I36" s="85"/>
      <c r="J36" s="85"/>
      <c r="K36" s="85"/>
      <c r="L36" s="86"/>
    </row>
    <row r="37" spans="1:12" x14ac:dyDescent="0.2">
      <c r="A37" s="81" t="s">
        <v>1474</v>
      </c>
      <c r="B37" s="81" t="s">
        <v>1475</v>
      </c>
      <c r="C37" s="81" t="s">
        <v>1473</v>
      </c>
      <c r="D37" s="81" t="s">
        <v>3183</v>
      </c>
      <c r="E37" s="81" t="s">
        <v>2762</v>
      </c>
      <c r="F37" s="81" t="s">
        <v>2765</v>
      </c>
      <c r="G37" s="84"/>
      <c r="H37" s="85"/>
      <c r="I37" s="85"/>
      <c r="J37" s="85"/>
      <c r="K37" s="85"/>
      <c r="L37" s="86"/>
    </row>
    <row r="38" spans="1:12" x14ac:dyDescent="0.2">
      <c r="A38" s="81" t="s">
        <v>1434</v>
      </c>
      <c r="B38" s="81" t="s">
        <v>1435</v>
      </c>
      <c r="C38" s="81" t="s">
        <v>1433</v>
      </c>
      <c r="D38" s="81" t="s">
        <v>3184</v>
      </c>
      <c r="E38" s="81" t="s">
        <v>2762</v>
      </c>
      <c r="F38" s="81" t="s">
        <v>2764</v>
      </c>
      <c r="G38" s="84"/>
      <c r="H38" s="85"/>
      <c r="I38" s="85"/>
      <c r="J38" s="85"/>
      <c r="K38" s="85"/>
      <c r="L38" s="86"/>
    </row>
    <row r="39" spans="1:12" x14ac:dyDescent="0.2">
      <c r="A39" s="81" t="s">
        <v>1365</v>
      </c>
      <c r="B39" s="81" t="s">
        <v>1366</v>
      </c>
      <c r="C39" s="81" t="s">
        <v>1364</v>
      </c>
      <c r="D39" s="81" t="s">
        <v>3185</v>
      </c>
      <c r="E39" s="81" t="s">
        <v>2762</v>
      </c>
      <c r="F39" s="81" t="s">
        <v>2766</v>
      </c>
      <c r="G39" s="84"/>
      <c r="H39" s="85"/>
      <c r="I39" s="85"/>
      <c r="J39" s="85"/>
      <c r="K39" s="85"/>
      <c r="L39" s="86"/>
    </row>
    <row r="40" spans="1:12" x14ac:dyDescent="0.2">
      <c r="A40" s="81" t="s">
        <v>1371</v>
      </c>
      <c r="B40" s="81" t="s">
        <v>826</v>
      </c>
      <c r="C40" s="81" t="s">
        <v>1370</v>
      </c>
      <c r="D40" s="81" t="s">
        <v>3186</v>
      </c>
      <c r="E40" s="81" t="s">
        <v>2762</v>
      </c>
      <c r="F40" s="81" t="s">
        <v>2763</v>
      </c>
      <c r="G40" s="84"/>
      <c r="H40" s="85"/>
      <c r="I40" s="85"/>
      <c r="J40" s="85"/>
      <c r="K40" s="85"/>
      <c r="L40" s="86"/>
    </row>
    <row r="41" spans="1:12" x14ac:dyDescent="0.2">
      <c r="A41" s="81" t="s">
        <v>1369</v>
      </c>
      <c r="B41" s="81" t="s">
        <v>954</v>
      </c>
      <c r="C41" s="81" t="s">
        <v>1368</v>
      </c>
      <c r="D41" s="81" t="s">
        <v>3187</v>
      </c>
      <c r="E41" s="81" t="s">
        <v>2759</v>
      </c>
      <c r="F41" s="81" t="s">
        <v>2760</v>
      </c>
      <c r="G41" s="84"/>
      <c r="H41" s="85"/>
      <c r="I41" s="85"/>
      <c r="J41" s="85"/>
      <c r="K41" s="85"/>
      <c r="L41" s="86"/>
    </row>
    <row r="42" spans="1:12" x14ac:dyDescent="0.2">
      <c r="A42" s="81" t="s">
        <v>1373</v>
      </c>
      <c r="B42" s="81" t="s">
        <v>839</v>
      </c>
      <c r="C42" s="81" t="s">
        <v>1372</v>
      </c>
      <c r="D42" s="81" t="s">
        <v>3188</v>
      </c>
      <c r="E42" s="81" t="s">
        <v>2767</v>
      </c>
      <c r="F42" s="81" t="s">
        <v>2768</v>
      </c>
      <c r="G42" s="84"/>
      <c r="H42" s="85"/>
      <c r="I42" s="85"/>
      <c r="J42" s="85"/>
      <c r="K42" s="85"/>
      <c r="L42" s="86"/>
    </row>
    <row r="43" spans="1:12" x14ac:dyDescent="0.2">
      <c r="A43" s="81" t="s">
        <v>1421</v>
      </c>
      <c r="B43" s="81" t="s">
        <v>1422</v>
      </c>
      <c r="C43" s="81" t="s">
        <v>1420</v>
      </c>
      <c r="D43" s="81" t="s">
        <v>3189</v>
      </c>
      <c r="E43" s="81" t="s">
        <v>2762</v>
      </c>
      <c r="F43" s="81" t="s">
        <v>2766</v>
      </c>
      <c r="G43" s="84"/>
      <c r="H43" s="85"/>
      <c r="I43" s="85"/>
      <c r="J43" s="85"/>
      <c r="K43" s="85"/>
      <c r="L43" s="86"/>
    </row>
    <row r="44" spans="1:12" x14ac:dyDescent="0.2">
      <c r="A44" s="81" t="s">
        <v>1375</v>
      </c>
      <c r="B44" s="81" t="s">
        <v>842</v>
      </c>
      <c r="C44" s="81" t="s">
        <v>1374</v>
      </c>
      <c r="D44" s="81" t="s">
        <v>3190</v>
      </c>
      <c r="E44" s="81" t="s">
        <v>2759</v>
      </c>
      <c r="F44" s="81" t="s">
        <v>2760</v>
      </c>
      <c r="G44" s="84"/>
      <c r="H44" s="85"/>
      <c r="I44" s="85"/>
      <c r="J44" s="85"/>
      <c r="K44" s="85"/>
      <c r="L44" s="86"/>
    </row>
    <row r="45" spans="1:12" x14ac:dyDescent="0.2">
      <c r="A45" s="81" t="s">
        <v>1424</v>
      </c>
      <c r="B45" s="81" t="s">
        <v>842</v>
      </c>
      <c r="C45" s="81" t="s">
        <v>1423</v>
      </c>
      <c r="D45" s="81" t="s">
        <v>3190</v>
      </c>
      <c r="E45" s="81" t="s">
        <v>2759</v>
      </c>
      <c r="F45" s="81" t="s">
        <v>2760</v>
      </c>
      <c r="G45" s="84"/>
      <c r="H45" s="85"/>
      <c r="I45" s="85"/>
      <c r="J45" s="85"/>
      <c r="K45" s="85"/>
      <c r="L45" s="86"/>
    </row>
    <row r="46" spans="1:12" x14ac:dyDescent="0.2">
      <c r="A46" s="81" t="s">
        <v>3081</v>
      </c>
      <c r="B46" s="81" t="s">
        <v>1453</v>
      </c>
      <c r="C46" s="81" t="s">
        <v>1451</v>
      </c>
      <c r="D46" s="81" t="s">
        <v>3191</v>
      </c>
      <c r="E46" s="81" t="s">
        <v>2762</v>
      </c>
      <c r="F46" s="81" t="s">
        <v>2766</v>
      </c>
      <c r="G46" s="84"/>
      <c r="H46" s="85"/>
      <c r="I46" s="85"/>
      <c r="J46" s="85"/>
      <c r="K46" s="85"/>
      <c r="L46" s="86"/>
    </row>
    <row r="47" spans="1:12" x14ac:dyDescent="0.2">
      <c r="A47" s="81" t="s">
        <v>1255</v>
      </c>
      <c r="B47" s="81" t="s">
        <v>1256</v>
      </c>
      <c r="C47" s="81" t="s">
        <v>1254</v>
      </c>
      <c r="D47" s="81" t="s">
        <v>3192</v>
      </c>
      <c r="E47" s="81" t="s">
        <v>2762</v>
      </c>
      <c r="F47" s="81" t="s">
        <v>2766</v>
      </c>
      <c r="G47" s="84"/>
      <c r="H47" s="85"/>
      <c r="I47" s="85"/>
      <c r="J47" s="85"/>
      <c r="K47" s="85"/>
      <c r="L47" s="86"/>
    </row>
    <row r="48" spans="1:12" x14ac:dyDescent="0.2">
      <c r="A48" s="81" t="s">
        <v>1259</v>
      </c>
      <c r="B48" s="81" t="s">
        <v>839</v>
      </c>
      <c r="C48" s="81" t="s">
        <v>1258</v>
      </c>
      <c r="D48" s="81" t="s">
        <v>3188</v>
      </c>
      <c r="E48" s="81" t="s">
        <v>2767</v>
      </c>
      <c r="F48" s="81" t="s">
        <v>2768</v>
      </c>
      <c r="G48" s="84"/>
      <c r="H48" s="85"/>
      <c r="I48" s="85"/>
      <c r="J48" s="85"/>
      <c r="K48" s="85"/>
      <c r="L48" s="86"/>
    </row>
    <row r="49" spans="1:12" x14ac:dyDescent="0.2">
      <c r="A49" s="81" t="s">
        <v>3087</v>
      </c>
      <c r="B49" s="81" t="s">
        <v>3089</v>
      </c>
      <c r="C49" s="81" t="s">
        <v>3088</v>
      </c>
      <c r="D49" s="81" t="s">
        <v>3193</v>
      </c>
      <c r="E49" s="81" t="s">
        <v>2780</v>
      </c>
      <c r="F49" s="81" t="s">
        <v>2764</v>
      </c>
      <c r="G49" s="84"/>
      <c r="H49" s="85"/>
      <c r="I49" s="85"/>
      <c r="J49" s="85"/>
      <c r="K49" s="85"/>
      <c r="L49" s="86"/>
    </row>
    <row r="50" spans="1:12" x14ac:dyDescent="0.2">
      <c r="A50" s="81" t="s">
        <v>1261</v>
      </c>
      <c r="B50" s="81" t="s">
        <v>1262</v>
      </c>
      <c r="C50" s="81" t="s">
        <v>1260</v>
      </c>
      <c r="D50" s="81" t="s">
        <v>3194</v>
      </c>
      <c r="E50" s="81" t="s">
        <v>2762</v>
      </c>
      <c r="F50" s="81" t="s">
        <v>2765</v>
      </c>
      <c r="G50" s="84"/>
      <c r="H50" s="85"/>
      <c r="I50" s="85"/>
      <c r="J50" s="85"/>
      <c r="K50" s="85"/>
      <c r="L50" s="86"/>
    </row>
    <row r="51" spans="1:12" x14ac:dyDescent="0.2">
      <c r="A51" s="81" t="s">
        <v>3082</v>
      </c>
      <c r="B51" s="81" t="s">
        <v>3084</v>
      </c>
      <c r="C51" s="81" t="s">
        <v>3083</v>
      </c>
      <c r="D51" s="81" t="s">
        <v>3195</v>
      </c>
      <c r="E51" s="81" t="s">
        <v>2762</v>
      </c>
      <c r="F51" s="81" t="s">
        <v>2764</v>
      </c>
      <c r="G51" s="84"/>
      <c r="H51" s="85"/>
      <c r="I51" s="85"/>
      <c r="J51" s="85"/>
      <c r="K51" s="85"/>
      <c r="L51" s="86"/>
    </row>
    <row r="52" spans="1:12" x14ac:dyDescent="0.2">
      <c r="A52" s="81" t="s">
        <v>2069</v>
      </c>
      <c r="B52" s="81" t="s">
        <v>2070</v>
      </c>
      <c r="C52" s="81" t="s">
        <v>2068</v>
      </c>
      <c r="D52" s="81" t="s">
        <v>3196</v>
      </c>
      <c r="E52" s="81" t="s">
        <v>2770</v>
      </c>
      <c r="F52" s="81" t="s">
        <v>2771</v>
      </c>
      <c r="G52" s="84"/>
      <c r="H52" s="85"/>
      <c r="I52" s="85"/>
      <c r="J52" s="85"/>
      <c r="K52" s="85"/>
      <c r="L52" s="86"/>
    </row>
    <row r="53" spans="1:12" x14ac:dyDescent="0.2">
      <c r="A53" s="84" t="s">
        <v>2069</v>
      </c>
      <c r="B53" s="84" t="s">
        <v>2070</v>
      </c>
      <c r="C53" s="81" t="s">
        <v>2722</v>
      </c>
      <c r="D53" s="81" t="s">
        <v>3196</v>
      </c>
      <c r="E53" s="81" t="s">
        <v>2770</v>
      </c>
      <c r="F53" s="81" t="s">
        <v>2771</v>
      </c>
      <c r="G53" s="84"/>
      <c r="H53" s="85"/>
      <c r="I53" s="85"/>
      <c r="J53" s="85"/>
      <c r="K53" s="85"/>
      <c r="L53" s="86"/>
    </row>
    <row r="54" spans="1:12" x14ac:dyDescent="0.2">
      <c r="A54" s="81" t="s">
        <v>1190</v>
      </c>
      <c r="B54" s="81" t="s">
        <v>1191</v>
      </c>
      <c r="C54" s="81" t="s">
        <v>1189</v>
      </c>
      <c r="D54" s="81" t="s">
        <v>3197</v>
      </c>
      <c r="E54" s="81" t="s">
        <v>2772</v>
      </c>
      <c r="F54" s="81" t="s">
        <v>2773</v>
      </c>
      <c r="G54" s="84"/>
      <c r="H54" s="85"/>
      <c r="I54" s="85"/>
      <c r="J54" s="85"/>
      <c r="K54" s="85"/>
      <c r="L54" s="86"/>
    </row>
    <row r="55" spans="1:12" x14ac:dyDescent="0.2">
      <c r="A55" s="84" t="s">
        <v>1190</v>
      </c>
      <c r="B55" s="84" t="s">
        <v>1191</v>
      </c>
      <c r="C55" s="81" t="s">
        <v>2599</v>
      </c>
      <c r="D55" s="81" t="s">
        <v>3197</v>
      </c>
      <c r="E55" s="81" t="s">
        <v>2772</v>
      </c>
      <c r="F55" s="81" t="s">
        <v>2773</v>
      </c>
      <c r="G55" s="84"/>
      <c r="H55" s="85"/>
      <c r="I55" s="85"/>
      <c r="J55" s="85"/>
      <c r="K55" s="85"/>
      <c r="L55" s="86"/>
    </row>
    <row r="56" spans="1:12" x14ac:dyDescent="0.2">
      <c r="A56" s="81" t="s">
        <v>1193</v>
      </c>
      <c r="B56" s="81" t="s">
        <v>1194</v>
      </c>
      <c r="C56" s="81" t="s">
        <v>1192</v>
      </c>
      <c r="D56" s="81" t="s">
        <v>3198</v>
      </c>
      <c r="E56" s="81" t="s">
        <v>2759</v>
      </c>
      <c r="F56" s="81" t="s">
        <v>2760</v>
      </c>
      <c r="G56" s="84"/>
      <c r="H56" s="85"/>
      <c r="I56" s="85"/>
      <c r="J56" s="85"/>
      <c r="K56" s="85"/>
      <c r="L56" s="86"/>
    </row>
    <row r="57" spans="1:12" x14ac:dyDescent="0.2">
      <c r="A57" s="84" t="s">
        <v>1193</v>
      </c>
      <c r="B57" s="81" t="s">
        <v>2601</v>
      </c>
      <c r="C57" s="81" t="s">
        <v>2600</v>
      </c>
      <c r="D57" s="81" t="s">
        <v>3198</v>
      </c>
      <c r="E57" s="81" t="s">
        <v>2759</v>
      </c>
      <c r="F57" s="81" t="s">
        <v>2760</v>
      </c>
      <c r="G57" s="84"/>
      <c r="H57" s="85"/>
      <c r="I57" s="85"/>
      <c r="J57" s="85"/>
      <c r="K57" s="85"/>
      <c r="L57" s="86"/>
    </row>
    <row r="58" spans="1:12" x14ac:dyDescent="0.2">
      <c r="A58" s="81" t="s">
        <v>1290</v>
      </c>
      <c r="B58" s="81" t="s">
        <v>1291</v>
      </c>
      <c r="C58" s="81" t="s">
        <v>1289</v>
      </c>
      <c r="D58" s="81" t="s">
        <v>3199</v>
      </c>
      <c r="E58" s="81" t="s">
        <v>2762</v>
      </c>
      <c r="F58" s="81" t="s">
        <v>2774</v>
      </c>
      <c r="G58" s="84"/>
      <c r="H58" s="85"/>
      <c r="I58" s="85"/>
      <c r="J58" s="85"/>
      <c r="K58" s="85"/>
      <c r="L58" s="86"/>
    </row>
    <row r="59" spans="1:12" x14ac:dyDescent="0.2">
      <c r="A59" s="81" t="s">
        <v>1442</v>
      </c>
      <c r="B59" s="81" t="s">
        <v>1443</v>
      </c>
      <c r="C59" s="81" t="s">
        <v>1441</v>
      </c>
      <c r="D59" s="81" t="s">
        <v>3200</v>
      </c>
      <c r="E59" s="81" t="s">
        <v>2762</v>
      </c>
      <c r="F59" s="81" t="s">
        <v>2774</v>
      </c>
      <c r="G59" s="84"/>
      <c r="H59" s="85"/>
      <c r="I59" s="85"/>
      <c r="J59" s="85"/>
      <c r="K59" s="85"/>
      <c r="L59" s="86"/>
    </row>
    <row r="60" spans="1:12" x14ac:dyDescent="0.2">
      <c r="A60" s="81" t="s">
        <v>1741</v>
      </c>
      <c r="B60" s="81" t="s">
        <v>1742</v>
      </c>
      <c r="C60" s="81" t="s">
        <v>1740</v>
      </c>
      <c r="D60" s="81" t="s">
        <v>3201</v>
      </c>
      <c r="E60" s="81" t="s">
        <v>2775</v>
      </c>
      <c r="F60" s="81" t="s">
        <v>2776</v>
      </c>
      <c r="G60" s="84"/>
      <c r="H60" s="85"/>
      <c r="I60" s="85"/>
      <c r="J60" s="85"/>
      <c r="K60" s="85"/>
      <c r="L60" s="86"/>
    </row>
    <row r="61" spans="1:12" x14ac:dyDescent="0.2">
      <c r="A61" s="81" t="s">
        <v>2704</v>
      </c>
      <c r="B61" s="81" t="s">
        <v>2705</v>
      </c>
      <c r="C61" s="81" t="s">
        <v>2703</v>
      </c>
      <c r="D61" s="81" t="s">
        <v>3201</v>
      </c>
      <c r="E61" s="81" t="s">
        <v>2775</v>
      </c>
      <c r="F61" s="81" t="s">
        <v>2776</v>
      </c>
      <c r="G61" s="84"/>
      <c r="H61" s="85"/>
      <c r="I61" s="85"/>
      <c r="J61" s="85"/>
      <c r="K61" s="85"/>
      <c r="L61" s="86"/>
    </row>
    <row r="62" spans="1:12" x14ac:dyDescent="0.2">
      <c r="A62" s="81" t="s">
        <v>1721</v>
      </c>
      <c r="B62" s="81" t="s">
        <v>2699</v>
      </c>
      <c r="C62" s="81" t="s">
        <v>1720</v>
      </c>
      <c r="D62" s="81" t="s">
        <v>3202</v>
      </c>
      <c r="E62" s="81" t="s">
        <v>2775</v>
      </c>
      <c r="F62" s="81" t="s">
        <v>2777</v>
      </c>
      <c r="G62" s="84"/>
      <c r="H62" s="85"/>
      <c r="I62" s="85"/>
      <c r="J62" s="85"/>
      <c r="K62" s="85"/>
      <c r="L62" s="86"/>
    </row>
    <row r="63" spans="1:12" x14ac:dyDescent="0.2">
      <c r="A63" s="84" t="s">
        <v>1721</v>
      </c>
      <c r="B63" s="84" t="s">
        <v>2699</v>
      </c>
      <c r="C63" s="81" t="s">
        <v>2698</v>
      </c>
      <c r="D63" s="81" t="s">
        <v>3202</v>
      </c>
      <c r="E63" s="81" t="s">
        <v>2775</v>
      </c>
      <c r="F63" s="81" t="s">
        <v>2777</v>
      </c>
      <c r="G63" s="84"/>
      <c r="H63" s="85"/>
      <c r="I63" s="85"/>
      <c r="J63" s="85"/>
      <c r="K63" s="85"/>
      <c r="L63" s="86"/>
    </row>
    <row r="64" spans="1:12" x14ac:dyDescent="0.2">
      <c r="A64" s="81" t="s">
        <v>1703</v>
      </c>
      <c r="B64" s="81" t="s">
        <v>1704</v>
      </c>
      <c r="C64" s="81" t="s">
        <v>1702</v>
      </c>
      <c r="D64" s="81" t="s">
        <v>3203</v>
      </c>
      <c r="E64" s="81" t="s">
        <v>2775</v>
      </c>
      <c r="F64" s="81" t="s">
        <v>2778</v>
      </c>
      <c r="G64" s="84"/>
      <c r="H64" s="85"/>
      <c r="I64" s="85"/>
      <c r="J64" s="85"/>
      <c r="K64" s="85"/>
      <c r="L64" s="86"/>
    </row>
    <row r="65" spans="1:12" x14ac:dyDescent="0.2">
      <c r="A65" s="84" t="s">
        <v>1703</v>
      </c>
      <c r="B65" s="84" t="s">
        <v>1704</v>
      </c>
      <c r="C65" s="81" t="s">
        <v>2697</v>
      </c>
      <c r="D65" s="81" t="s">
        <v>3203</v>
      </c>
      <c r="E65" s="81" t="s">
        <v>2775</v>
      </c>
      <c r="F65" s="81" t="s">
        <v>2778</v>
      </c>
      <c r="G65" s="84"/>
      <c r="H65" s="85"/>
      <c r="I65" s="85"/>
      <c r="J65" s="85"/>
      <c r="K65" s="85"/>
      <c r="L65" s="86"/>
    </row>
    <row r="66" spans="1:12" x14ac:dyDescent="0.2">
      <c r="A66" s="81" t="s">
        <v>1708</v>
      </c>
      <c r="B66" s="81" t="s">
        <v>1709</v>
      </c>
      <c r="C66" s="81" t="s">
        <v>1707</v>
      </c>
      <c r="D66" s="81" t="s">
        <v>3204</v>
      </c>
      <c r="E66" s="81" t="s">
        <v>2775</v>
      </c>
      <c r="F66" s="81" t="s">
        <v>2779</v>
      </c>
      <c r="G66" s="84"/>
      <c r="H66" s="85"/>
      <c r="I66" s="85"/>
      <c r="J66" s="85"/>
      <c r="K66" s="85"/>
      <c r="L66" s="86"/>
    </row>
    <row r="67" spans="1:12" x14ac:dyDescent="0.2">
      <c r="A67" s="81" t="s">
        <v>1954</v>
      </c>
      <c r="B67" s="81" t="s">
        <v>1955</v>
      </c>
      <c r="C67" s="81" t="s">
        <v>1953</v>
      </c>
      <c r="D67" s="81" t="s">
        <v>3205</v>
      </c>
      <c r="E67" s="81" t="s">
        <v>2770</v>
      </c>
      <c r="F67" s="81" t="s">
        <v>2764</v>
      </c>
      <c r="G67" s="84"/>
      <c r="H67" s="85"/>
      <c r="I67" s="85"/>
      <c r="J67" s="85"/>
      <c r="K67" s="85"/>
      <c r="L67" s="86"/>
    </row>
    <row r="68" spans="1:12" x14ac:dyDescent="0.2">
      <c r="A68" s="84" t="s">
        <v>1954</v>
      </c>
      <c r="B68" s="84" t="s">
        <v>1955</v>
      </c>
      <c r="C68" s="81" t="s">
        <v>2718</v>
      </c>
      <c r="D68" s="81" t="s">
        <v>3205</v>
      </c>
      <c r="E68" s="81" t="s">
        <v>2770</v>
      </c>
      <c r="F68" s="81" t="s">
        <v>2764</v>
      </c>
      <c r="G68" s="84"/>
      <c r="H68" s="85"/>
      <c r="I68" s="85"/>
      <c r="J68" s="85"/>
      <c r="K68" s="85"/>
      <c r="L68" s="86"/>
    </row>
    <row r="69" spans="1:12" x14ac:dyDescent="0.2">
      <c r="A69" s="81" t="s">
        <v>1266</v>
      </c>
      <c r="B69" s="81" t="s">
        <v>1267</v>
      </c>
      <c r="C69" s="81" t="s">
        <v>1265</v>
      </c>
      <c r="D69" s="81" t="s">
        <v>3200</v>
      </c>
      <c r="E69" s="81" t="s">
        <v>2762</v>
      </c>
      <c r="F69" s="81" t="s">
        <v>2774</v>
      </c>
      <c r="G69" s="84"/>
      <c r="H69" s="85"/>
      <c r="I69" s="85"/>
      <c r="J69" s="85"/>
      <c r="K69" s="85"/>
      <c r="L69" s="86"/>
    </row>
    <row r="70" spans="1:12" x14ac:dyDescent="0.2">
      <c r="A70" s="81" t="s">
        <v>2312</v>
      </c>
      <c r="B70" s="81" t="s">
        <v>2313</v>
      </c>
      <c r="C70" s="81" t="s">
        <v>2311</v>
      </c>
      <c r="D70" s="81" t="s">
        <v>3206</v>
      </c>
      <c r="E70" s="81" t="s">
        <v>2782</v>
      </c>
      <c r="F70" s="81" t="s">
        <v>2783</v>
      </c>
      <c r="G70" s="84"/>
      <c r="H70" s="85"/>
      <c r="I70" s="85"/>
      <c r="J70" s="85"/>
      <c r="K70" s="85"/>
      <c r="L70" s="86"/>
    </row>
    <row r="71" spans="1:12" x14ac:dyDescent="0.2">
      <c r="A71" s="84" t="s">
        <v>2312</v>
      </c>
      <c r="B71" s="84" t="s">
        <v>2313</v>
      </c>
      <c r="C71" s="81" t="s">
        <v>2737</v>
      </c>
      <c r="D71" s="81" t="s">
        <v>3206</v>
      </c>
      <c r="E71" s="81" t="s">
        <v>2782</v>
      </c>
      <c r="F71" s="81" t="s">
        <v>2783</v>
      </c>
      <c r="G71" s="84"/>
      <c r="H71" s="85"/>
      <c r="I71" s="85"/>
      <c r="J71" s="85"/>
      <c r="K71" s="85"/>
      <c r="L71" s="86"/>
    </row>
    <row r="72" spans="1:12" x14ac:dyDescent="0.2">
      <c r="A72" s="81" t="s">
        <v>2323</v>
      </c>
      <c r="B72" s="81" t="s">
        <v>1992</v>
      </c>
      <c r="C72" s="81" t="s">
        <v>2322</v>
      </c>
      <c r="D72" s="81" t="s">
        <v>3207</v>
      </c>
      <c r="E72" s="81" t="s">
        <v>2782</v>
      </c>
      <c r="F72" s="81" t="s">
        <v>2784</v>
      </c>
      <c r="G72" s="84"/>
      <c r="H72" s="85"/>
      <c r="I72" s="85"/>
      <c r="J72" s="85"/>
      <c r="K72" s="85"/>
      <c r="L72" s="86"/>
    </row>
    <row r="73" spans="1:12" x14ac:dyDescent="0.2">
      <c r="A73" s="81" t="s">
        <v>2321</v>
      </c>
      <c r="B73" s="81" t="s">
        <v>1913</v>
      </c>
      <c r="C73" s="81" t="s">
        <v>2320</v>
      </c>
      <c r="D73" s="81" t="s">
        <v>3208</v>
      </c>
      <c r="E73" s="81" t="s">
        <v>2782</v>
      </c>
      <c r="F73" s="81" t="s">
        <v>2764</v>
      </c>
      <c r="G73" s="84"/>
      <c r="H73" s="85"/>
      <c r="I73" s="85"/>
      <c r="J73" s="85"/>
      <c r="K73" s="85"/>
      <c r="L73" s="86"/>
    </row>
    <row r="74" spans="1:12" x14ac:dyDescent="0.2">
      <c r="A74" s="81" t="s">
        <v>2319</v>
      </c>
      <c r="B74" s="81" t="s">
        <v>1908</v>
      </c>
      <c r="C74" s="81" t="s">
        <v>2318</v>
      </c>
      <c r="D74" s="81" t="s">
        <v>3209</v>
      </c>
      <c r="E74" s="81" t="s">
        <v>2782</v>
      </c>
      <c r="F74" s="81" t="s">
        <v>2764</v>
      </c>
      <c r="G74" s="84"/>
      <c r="H74" s="85"/>
      <c r="I74" s="85"/>
      <c r="J74" s="85"/>
      <c r="K74" s="85"/>
      <c r="L74" s="86"/>
    </row>
    <row r="75" spans="1:12" x14ac:dyDescent="0.2">
      <c r="A75" s="81" t="s">
        <v>2317</v>
      </c>
      <c r="B75" s="81" t="s">
        <v>1900</v>
      </c>
      <c r="C75" s="81" t="s">
        <v>2316</v>
      </c>
      <c r="D75" s="81" t="s">
        <v>3210</v>
      </c>
      <c r="E75" s="81" t="s">
        <v>2782</v>
      </c>
      <c r="F75" s="81" t="s">
        <v>2764</v>
      </c>
      <c r="G75" s="84"/>
      <c r="H75" s="85"/>
      <c r="I75" s="85"/>
      <c r="J75" s="85"/>
      <c r="K75" s="85"/>
      <c r="L75" s="86"/>
    </row>
    <row r="76" spans="1:12" x14ac:dyDescent="0.2">
      <c r="A76" s="81" t="s">
        <v>2478</v>
      </c>
      <c r="B76" s="81" t="s">
        <v>2479</v>
      </c>
      <c r="C76" s="81" t="s">
        <v>2477</v>
      </c>
      <c r="D76" s="81" t="s">
        <v>3211</v>
      </c>
      <c r="E76" s="81" t="s">
        <v>2759</v>
      </c>
      <c r="F76" s="81" t="s">
        <v>2785</v>
      </c>
      <c r="G76" s="84"/>
      <c r="H76" s="85"/>
      <c r="I76" s="85"/>
      <c r="J76" s="85"/>
      <c r="K76" s="85"/>
      <c r="L76" s="86"/>
    </row>
    <row r="77" spans="1:12" x14ac:dyDescent="0.2">
      <c r="A77" s="81" t="s">
        <v>1384</v>
      </c>
      <c r="B77" s="81" t="s">
        <v>1385</v>
      </c>
      <c r="C77" s="81" t="s">
        <v>1383</v>
      </c>
      <c r="D77" s="81" t="s">
        <v>3212</v>
      </c>
      <c r="E77" s="81" t="s">
        <v>2762</v>
      </c>
      <c r="F77" s="81" t="s">
        <v>2769</v>
      </c>
      <c r="G77" s="84"/>
      <c r="H77" s="85"/>
      <c r="I77" s="85"/>
      <c r="J77" s="85"/>
      <c r="K77" s="85"/>
      <c r="L77" s="86"/>
    </row>
    <row r="78" spans="1:12" x14ac:dyDescent="0.2">
      <c r="A78" s="81" t="s">
        <v>1577</v>
      </c>
      <c r="B78" s="81" t="s">
        <v>1578</v>
      </c>
      <c r="C78" s="81" t="s">
        <v>1576</v>
      </c>
      <c r="D78" s="81" t="s">
        <v>3213</v>
      </c>
      <c r="E78" s="81" t="s">
        <v>2786</v>
      </c>
      <c r="F78" s="81" t="s">
        <v>2787</v>
      </c>
      <c r="G78" s="84"/>
      <c r="H78" s="85"/>
      <c r="I78" s="85"/>
      <c r="J78" s="85"/>
      <c r="K78" s="85"/>
      <c r="L78" s="86"/>
    </row>
    <row r="79" spans="1:12" x14ac:dyDescent="0.2">
      <c r="A79" s="81" t="s">
        <v>1766</v>
      </c>
      <c r="B79" s="81" t="s">
        <v>1767</v>
      </c>
      <c r="C79" s="81" t="s">
        <v>1765</v>
      </c>
      <c r="D79" s="81" t="s">
        <v>3214</v>
      </c>
      <c r="E79" s="81" t="s">
        <v>2775</v>
      </c>
      <c r="F79" s="81" t="s">
        <v>2779</v>
      </c>
      <c r="G79" s="84"/>
      <c r="H79" s="85"/>
      <c r="I79" s="85"/>
      <c r="J79" s="85"/>
      <c r="K79" s="85"/>
      <c r="L79" s="86"/>
    </row>
    <row r="80" spans="1:12" x14ac:dyDescent="0.2">
      <c r="A80" s="81" t="s">
        <v>1167</v>
      </c>
      <c r="B80" s="81" t="s">
        <v>1168</v>
      </c>
      <c r="C80" s="81" t="s">
        <v>1166</v>
      </c>
      <c r="D80" s="81" t="s">
        <v>3215</v>
      </c>
      <c r="E80" s="81" t="s">
        <v>2772</v>
      </c>
      <c r="F80" s="81" t="s">
        <v>2788</v>
      </c>
      <c r="G80" s="84"/>
      <c r="H80" s="85"/>
      <c r="I80" s="85"/>
      <c r="J80" s="85"/>
      <c r="K80" s="85"/>
      <c r="L80" s="86"/>
    </row>
    <row r="81" spans="1:12" x14ac:dyDescent="0.2">
      <c r="A81" s="81" t="s">
        <v>3156</v>
      </c>
      <c r="B81" s="81" t="s">
        <v>3155</v>
      </c>
      <c r="C81" s="81" t="s">
        <v>3157</v>
      </c>
      <c r="D81" s="81" t="s">
        <v>3216</v>
      </c>
      <c r="E81" s="81" t="s">
        <v>2762</v>
      </c>
      <c r="F81" s="81" t="s">
        <v>2790</v>
      </c>
      <c r="G81" s="84"/>
      <c r="H81" s="85"/>
      <c r="I81" s="85"/>
      <c r="J81" s="85"/>
      <c r="K81" s="85"/>
      <c r="L81" s="86"/>
    </row>
    <row r="82" spans="1:12" x14ac:dyDescent="0.2">
      <c r="A82" s="81" t="s">
        <v>2716</v>
      </c>
      <c r="B82" s="81" t="s">
        <v>1908</v>
      </c>
      <c r="C82" s="81" t="s">
        <v>2715</v>
      </c>
      <c r="D82" s="81" t="s">
        <v>3209</v>
      </c>
      <c r="E82" s="81" t="s">
        <v>2782</v>
      </c>
      <c r="F82" s="81" t="s">
        <v>2764</v>
      </c>
      <c r="G82" s="84"/>
      <c r="H82" s="85"/>
      <c r="I82" s="85"/>
      <c r="J82" s="85"/>
      <c r="K82" s="85"/>
      <c r="L82" s="86"/>
    </row>
    <row r="83" spans="1:12" x14ac:dyDescent="0.2">
      <c r="A83" s="81" t="s">
        <v>1945</v>
      </c>
      <c r="B83" s="81" t="s">
        <v>1913</v>
      </c>
      <c r="C83" s="81" t="s">
        <v>1944</v>
      </c>
      <c r="D83" s="81" t="s">
        <v>3208</v>
      </c>
      <c r="E83" s="81" t="s">
        <v>2782</v>
      </c>
      <c r="F83" s="81" t="s">
        <v>2764</v>
      </c>
      <c r="G83" s="84"/>
      <c r="H83" s="85"/>
      <c r="I83" s="85"/>
      <c r="J83" s="85"/>
      <c r="K83" s="85"/>
      <c r="L83" s="86"/>
    </row>
    <row r="84" spans="1:12" x14ac:dyDescent="0.2">
      <c r="A84" s="81" t="s">
        <v>1941</v>
      </c>
      <c r="B84" s="81" t="s">
        <v>1905</v>
      </c>
      <c r="C84" s="81" t="s">
        <v>1940</v>
      </c>
      <c r="D84" s="81" t="s">
        <v>3217</v>
      </c>
      <c r="E84" s="81" t="s">
        <v>2770</v>
      </c>
      <c r="F84" s="81" t="s">
        <v>2789</v>
      </c>
      <c r="G84" s="84"/>
      <c r="H84" s="85"/>
      <c r="I84" s="85"/>
      <c r="J84" s="85"/>
      <c r="K84" s="85"/>
      <c r="L84" s="86"/>
    </row>
    <row r="85" spans="1:12" x14ac:dyDescent="0.2">
      <c r="A85" s="81" t="s">
        <v>1939</v>
      </c>
      <c r="B85" s="81" t="s">
        <v>1900</v>
      </c>
      <c r="C85" s="81" t="s">
        <v>1938</v>
      </c>
      <c r="D85" s="81" t="s">
        <v>3210</v>
      </c>
      <c r="E85" s="81" t="s">
        <v>2782</v>
      </c>
      <c r="F85" s="81" t="s">
        <v>2764</v>
      </c>
      <c r="G85" s="84"/>
      <c r="H85" s="85"/>
      <c r="I85" s="85"/>
      <c r="J85" s="85"/>
      <c r="K85" s="85"/>
      <c r="L85" s="86"/>
    </row>
    <row r="86" spans="1:12" x14ac:dyDescent="0.2">
      <c r="A86" s="81" t="s">
        <v>2535</v>
      </c>
      <c r="B86" s="81" t="s">
        <v>958</v>
      </c>
      <c r="C86" s="81" t="s">
        <v>2534</v>
      </c>
      <c r="D86" s="81" t="s">
        <v>3187</v>
      </c>
      <c r="E86" s="81" t="s">
        <v>2759</v>
      </c>
      <c r="F86" s="81" t="s">
        <v>2760</v>
      </c>
      <c r="G86" s="84"/>
      <c r="H86" s="85"/>
      <c r="I86" s="85"/>
      <c r="J86" s="85"/>
      <c r="K86" s="85"/>
      <c r="L86" s="86"/>
    </row>
    <row r="87" spans="1:12" x14ac:dyDescent="0.2">
      <c r="A87" s="81" t="s">
        <v>2537</v>
      </c>
      <c r="B87" s="81" t="s">
        <v>2472</v>
      </c>
      <c r="C87" s="81" t="s">
        <v>2536</v>
      </c>
      <c r="D87" s="81" t="s">
        <v>3218</v>
      </c>
      <c r="E87" s="81" t="s">
        <v>2762</v>
      </c>
      <c r="F87" s="81" t="s">
        <v>2790</v>
      </c>
      <c r="G87" s="84"/>
      <c r="H87" s="85"/>
      <c r="I87" s="85"/>
      <c r="J87" s="85"/>
      <c r="K87" s="85"/>
      <c r="L87" s="86"/>
    </row>
    <row r="88" spans="1:12" x14ac:dyDescent="0.2">
      <c r="A88" s="81" t="s">
        <v>2531</v>
      </c>
      <c r="B88" s="81" t="s">
        <v>2532</v>
      </c>
      <c r="C88" s="81" t="s">
        <v>2530</v>
      </c>
      <c r="D88" s="81" t="s">
        <v>3219</v>
      </c>
      <c r="E88" s="81" t="s">
        <v>2762</v>
      </c>
      <c r="F88" s="81"/>
      <c r="G88" s="84"/>
      <c r="H88" s="85"/>
      <c r="I88" s="85"/>
      <c r="J88" s="85"/>
      <c r="K88" s="85"/>
      <c r="L88" s="86"/>
    </row>
    <row r="89" spans="1:12" x14ac:dyDescent="0.2">
      <c r="A89" s="81" t="s">
        <v>2525</v>
      </c>
      <c r="B89" s="81" t="s">
        <v>958</v>
      </c>
      <c r="C89" s="81" t="s">
        <v>2524</v>
      </c>
      <c r="D89" s="81" t="s">
        <v>3187</v>
      </c>
      <c r="E89" s="81" t="s">
        <v>2759</v>
      </c>
      <c r="F89" s="81" t="s">
        <v>2760</v>
      </c>
      <c r="G89" s="84"/>
      <c r="H89" s="85"/>
      <c r="I89" s="85"/>
      <c r="J89" s="85"/>
      <c r="K89" s="85"/>
      <c r="L89" s="86"/>
    </row>
    <row r="90" spans="1:12" x14ac:dyDescent="0.2">
      <c r="A90" s="81" t="s">
        <v>2527</v>
      </c>
      <c r="B90" s="81" t="s">
        <v>964</v>
      </c>
      <c r="C90" s="81" t="s">
        <v>2526</v>
      </c>
      <c r="D90" s="81" t="s">
        <v>3220</v>
      </c>
      <c r="E90" s="81" t="s">
        <v>2759</v>
      </c>
      <c r="F90" s="81" t="s">
        <v>2760</v>
      </c>
      <c r="G90" s="84"/>
      <c r="H90" s="85"/>
      <c r="I90" s="85"/>
      <c r="J90" s="85"/>
      <c r="K90" s="85"/>
      <c r="L90" s="86"/>
    </row>
    <row r="91" spans="1:12" x14ac:dyDescent="0.2">
      <c r="A91" s="81" t="s">
        <v>2529</v>
      </c>
      <c r="B91" s="81" t="s">
        <v>2472</v>
      </c>
      <c r="C91" s="81" t="s">
        <v>2528</v>
      </c>
      <c r="D91" s="81" t="s">
        <v>3218</v>
      </c>
      <c r="E91" s="81" t="s">
        <v>2762</v>
      </c>
      <c r="F91" s="81" t="s">
        <v>2790</v>
      </c>
      <c r="G91" s="84"/>
      <c r="H91" s="85"/>
      <c r="I91" s="85"/>
      <c r="J91" s="85"/>
      <c r="K91" s="85"/>
      <c r="L91" s="86"/>
    </row>
    <row r="92" spans="1:12" x14ac:dyDescent="0.2">
      <c r="A92" s="81" t="s">
        <v>2523</v>
      </c>
      <c r="B92" s="81" t="s">
        <v>954</v>
      </c>
      <c r="C92" s="81" t="s">
        <v>2522</v>
      </c>
      <c r="D92" s="81" t="s">
        <v>3187</v>
      </c>
      <c r="E92" s="81" t="s">
        <v>2759</v>
      </c>
      <c r="F92" s="81" t="s">
        <v>2760</v>
      </c>
      <c r="G92" s="84"/>
      <c r="H92" s="85"/>
      <c r="I92" s="85"/>
      <c r="J92" s="85"/>
      <c r="K92" s="85"/>
      <c r="L92" s="86"/>
    </row>
    <row r="93" spans="1:12" x14ac:dyDescent="0.2">
      <c r="A93" s="81" t="s">
        <v>1917</v>
      </c>
      <c r="B93" s="81" t="s">
        <v>1918</v>
      </c>
      <c r="C93" s="81" t="s">
        <v>1916</v>
      </c>
      <c r="D93" s="81" t="s">
        <v>3221</v>
      </c>
      <c r="E93" s="81" t="s">
        <v>2780</v>
      </c>
      <c r="F93" s="81" t="s">
        <v>2764</v>
      </c>
      <c r="G93" s="84"/>
      <c r="H93" s="85"/>
      <c r="I93" s="85"/>
      <c r="J93" s="85"/>
      <c r="K93" s="85"/>
      <c r="L93" s="86"/>
    </row>
    <row r="94" spans="1:12" x14ac:dyDescent="0.2">
      <c r="A94" s="81" t="s">
        <v>1904</v>
      </c>
      <c r="B94" s="81" t="s">
        <v>1905</v>
      </c>
      <c r="C94" s="81" t="s">
        <v>1903</v>
      </c>
      <c r="D94" s="81" t="s">
        <v>3217</v>
      </c>
      <c r="E94" s="81" t="s">
        <v>2770</v>
      </c>
      <c r="F94" s="81" t="s">
        <v>2789</v>
      </c>
      <c r="G94" s="84"/>
      <c r="H94" s="85"/>
      <c r="I94" s="85"/>
      <c r="J94" s="85"/>
      <c r="K94" s="85"/>
      <c r="L94" s="86"/>
    </row>
    <row r="95" spans="1:12" x14ac:dyDescent="0.2">
      <c r="A95" s="81" t="s">
        <v>1899</v>
      </c>
      <c r="B95" s="81" t="s">
        <v>1900</v>
      </c>
      <c r="C95" s="81" t="s">
        <v>1898</v>
      </c>
      <c r="D95" s="81" t="s">
        <v>3210</v>
      </c>
      <c r="E95" s="81" t="s">
        <v>2782</v>
      </c>
      <c r="F95" s="81" t="s">
        <v>2764</v>
      </c>
      <c r="G95" s="84"/>
      <c r="H95" s="85"/>
      <c r="I95" s="85"/>
      <c r="J95" s="85"/>
      <c r="K95" s="85"/>
      <c r="L95" s="86"/>
    </row>
    <row r="96" spans="1:12" x14ac:dyDescent="0.2">
      <c r="A96" s="81" t="s">
        <v>1912</v>
      </c>
      <c r="B96" s="81" t="s">
        <v>1913</v>
      </c>
      <c r="C96" s="81" t="s">
        <v>1911</v>
      </c>
      <c r="D96" s="81" t="s">
        <v>3208</v>
      </c>
      <c r="E96" s="81" t="s">
        <v>2782</v>
      </c>
      <c r="F96" s="81" t="s">
        <v>2764</v>
      </c>
      <c r="G96" s="84"/>
      <c r="H96" s="85"/>
      <c r="I96" s="85"/>
      <c r="J96" s="85"/>
      <c r="K96" s="85"/>
      <c r="L96" s="86"/>
    </row>
    <row r="97" spans="1:12" x14ac:dyDescent="0.2">
      <c r="A97" s="81" t="s">
        <v>1907</v>
      </c>
      <c r="B97" s="81" t="s">
        <v>1908</v>
      </c>
      <c r="C97" s="81" t="s">
        <v>1906</v>
      </c>
      <c r="D97" s="81" t="s">
        <v>3209</v>
      </c>
      <c r="E97" s="81" t="s">
        <v>2782</v>
      </c>
      <c r="F97" s="81" t="s">
        <v>2764</v>
      </c>
      <c r="G97" s="84"/>
      <c r="H97" s="85"/>
      <c r="I97" s="85"/>
      <c r="J97" s="85"/>
      <c r="K97" s="85"/>
      <c r="L97" s="86"/>
    </row>
    <row r="98" spans="1:12" x14ac:dyDescent="0.2">
      <c r="A98" s="81" t="s">
        <v>3097</v>
      </c>
      <c r="B98" s="81" t="s">
        <v>1987</v>
      </c>
      <c r="C98" s="81" t="s">
        <v>3098</v>
      </c>
      <c r="D98" s="81" t="s">
        <v>3222</v>
      </c>
      <c r="E98" s="81" t="s">
        <v>2780</v>
      </c>
      <c r="F98" s="81" t="s">
        <v>2764</v>
      </c>
      <c r="G98" s="84"/>
      <c r="H98" s="85"/>
      <c r="I98" s="85"/>
      <c r="J98" s="85"/>
      <c r="K98" s="85"/>
      <c r="L98" s="86"/>
    </row>
    <row r="99" spans="1:12" x14ac:dyDescent="0.2">
      <c r="A99" s="81" t="s">
        <v>1897</v>
      </c>
      <c r="B99" s="81" t="s">
        <v>1487</v>
      </c>
      <c r="C99" s="81" t="s">
        <v>1896</v>
      </c>
      <c r="D99" s="81" t="s">
        <v>3223</v>
      </c>
      <c r="E99" s="81" t="s">
        <v>2791</v>
      </c>
      <c r="F99" s="81" t="s">
        <v>1489</v>
      </c>
      <c r="G99" s="84"/>
      <c r="H99" s="85"/>
      <c r="I99" s="85"/>
      <c r="J99" s="85"/>
      <c r="K99" s="85"/>
      <c r="L99" s="86"/>
    </row>
    <row r="100" spans="1:12" x14ac:dyDescent="0.2">
      <c r="A100" s="81" t="s">
        <v>1923</v>
      </c>
      <c r="B100" s="81" t="s">
        <v>909</v>
      </c>
      <c r="C100" s="81" t="s">
        <v>1922</v>
      </c>
      <c r="D100" s="81" t="s">
        <v>3224</v>
      </c>
      <c r="E100" s="81" t="s">
        <v>2791</v>
      </c>
      <c r="F100" s="81" t="s">
        <v>2792</v>
      </c>
      <c r="G100" s="84"/>
      <c r="H100" s="85"/>
      <c r="I100" s="85"/>
      <c r="J100" s="85"/>
      <c r="K100" s="85"/>
      <c r="L100" s="86"/>
    </row>
    <row r="101" spans="1:12" x14ac:dyDescent="0.2">
      <c r="A101" s="81" t="s">
        <v>3099</v>
      </c>
      <c r="B101" s="81" t="s">
        <v>3101</v>
      </c>
      <c r="C101" s="81" t="s">
        <v>3100</v>
      </c>
      <c r="D101" s="81" t="s">
        <v>3225</v>
      </c>
      <c r="E101" s="81" t="s">
        <v>2782</v>
      </c>
      <c r="F101" s="81" t="s">
        <v>2792</v>
      </c>
      <c r="G101" s="84"/>
      <c r="H101" s="85"/>
      <c r="I101" s="85"/>
      <c r="J101" s="85"/>
      <c r="K101" s="85"/>
      <c r="L101" s="86"/>
    </row>
    <row r="102" spans="1:12" x14ac:dyDescent="0.2">
      <c r="A102" s="81" t="s">
        <v>3102</v>
      </c>
      <c r="B102" s="81" t="s">
        <v>3104</v>
      </c>
      <c r="C102" s="81" t="s">
        <v>3103</v>
      </c>
      <c r="D102" s="81" t="s">
        <v>3226</v>
      </c>
      <c r="E102" s="81" t="s">
        <v>2780</v>
      </c>
      <c r="F102" s="81" t="s">
        <v>2809</v>
      </c>
      <c r="G102" s="84"/>
      <c r="H102" s="85"/>
      <c r="I102" s="85"/>
      <c r="J102" s="85"/>
      <c r="K102" s="85"/>
      <c r="L102" s="86"/>
    </row>
    <row r="103" spans="1:12" x14ac:dyDescent="0.2">
      <c r="A103" s="81" t="s">
        <v>1925</v>
      </c>
      <c r="B103" s="81" t="s">
        <v>1926</v>
      </c>
      <c r="C103" s="81" t="s">
        <v>1924</v>
      </c>
      <c r="D103" s="81" t="s">
        <v>3227</v>
      </c>
      <c r="E103" s="81" t="s">
        <v>2782</v>
      </c>
      <c r="F103" s="81" t="s">
        <v>2784</v>
      </c>
      <c r="G103" s="84"/>
      <c r="H103" s="85"/>
      <c r="I103" s="85"/>
      <c r="J103" s="85"/>
      <c r="K103" s="85"/>
      <c r="L103" s="86"/>
    </row>
    <row r="104" spans="1:12" x14ac:dyDescent="0.2">
      <c r="A104" s="81" t="s">
        <v>2465</v>
      </c>
      <c r="B104" s="81" t="s">
        <v>958</v>
      </c>
      <c r="C104" s="81" t="s">
        <v>2464</v>
      </c>
      <c r="D104" s="81" t="s">
        <v>3187</v>
      </c>
      <c r="E104" s="81" t="s">
        <v>2759</v>
      </c>
      <c r="F104" s="81" t="s">
        <v>2760</v>
      </c>
      <c r="G104" s="84"/>
      <c r="H104" s="85"/>
      <c r="I104" s="85"/>
      <c r="J104" s="85"/>
      <c r="K104" s="85"/>
      <c r="L104" s="86"/>
    </row>
    <row r="105" spans="1:12" x14ac:dyDescent="0.2">
      <c r="A105" s="81" t="s">
        <v>2469</v>
      </c>
      <c r="B105" s="81" t="s">
        <v>969</v>
      </c>
      <c r="C105" s="81" t="s">
        <v>2468</v>
      </c>
      <c r="D105" s="81" t="s">
        <v>3228</v>
      </c>
      <c r="E105" s="81" t="s">
        <v>2759</v>
      </c>
      <c r="F105" s="81" t="s">
        <v>2760</v>
      </c>
      <c r="G105" s="84"/>
      <c r="H105" s="85"/>
      <c r="I105" s="85"/>
      <c r="J105" s="85"/>
      <c r="K105" s="85"/>
      <c r="L105" s="86"/>
    </row>
    <row r="106" spans="1:12" x14ac:dyDescent="0.2">
      <c r="A106" s="81" t="s">
        <v>2467</v>
      </c>
      <c r="B106" s="81" t="s">
        <v>964</v>
      </c>
      <c r="C106" s="81" t="s">
        <v>2466</v>
      </c>
      <c r="D106" s="81" t="s">
        <v>3220</v>
      </c>
      <c r="E106" s="81" t="s">
        <v>2759</v>
      </c>
      <c r="F106" s="81" t="s">
        <v>2761</v>
      </c>
      <c r="G106" s="84"/>
      <c r="H106" s="85"/>
      <c r="I106" s="85"/>
      <c r="J106" s="85"/>
      <c r="K106" s="85"/>
      <c r="L106" s="86"/>
    </row>
    <row r="107" spans="1:12" x14ac:dyDescent="0.2">
      <c r="A107" s="81" t="s">
        <v>2471</v>
      </c>
      <c r="B107" s="81" t="s">
        <v>2472</v>
      </c>
      <c r="C107" s="81" t="s">
        <v>2470</v>
      </c>
      <c r="D107" s="81" t="s">
        <v>3218</v>
      </c>
      <c r="E107" s="81" t="s">
        <v>2762</v>
      </c>
      <c r="F107" s="81" t="s">
        <v>2790</v>
      </c>
      <c r="G107" s="84"/>
      <c r="H107" s="85"/>
      <c r="I107" s="85"/>
      <c r="J107" s="85"/>
      <c r="K107" s="85"/>
      <c r="L107" s="86"/>
    </row>
    <row r="108" spans="1:12" x14ac:dyDescent="0.2">
      <c r="A108" s="81" t="s">
        <v>2476</v>
      </c>
      <c r="B108" s="81" t="s">
        <v>978</v>
      </c>
      <c r="C108" s="81" t="s">
        <v>2475</v>
      </c>
      <c r="D108" s="81" t="s">
        <v>3216</v>
      </c>
      <c r="E108" s="81" t="s">
        <v>2762</v>
      </c>
      <c r="F108" s="81" t="s">
        <v>2790</v>
      </c>
      <c r="G108" s="84"/>
      <c r="H108" s="85"/>
      <c r="I108" s="85"/>
      <c r="J108" s="85"/>
      <c r="K108" s="85"/>
      <c r="L108" s="86"/>
    </row>
    <row r="109" spans="1:12" x14ac:dyDescent="0.2">
      <c r="A109" s="81" t="s">
        <v>1943</v>
      </c>
      <c r="B109" s="81" t="s">
        <v>1908</v>
      </c>
      <c r="C109" s="81" t="s">
        <v>1942</v>
      </c>
      <c r="D109" s="81" t="s">
        <v>3209</v>
      </c>
      <c r="E109" s="81" t="s">
        <v>2782</v>
      </c>
      <c r="F109" s="81" t="s">
        <v>2764</v>
      </c>
      <c r="G109" s="84"/>
      <c r="H109" s="85"/>
      <c r="I109" s="85"/>
      <c r="J109" s="85"/>
      <c r="K109" s="85"/>
      <c r="L109" s="86"/>
    </row>
    <row r="110" spans="1:12" x14ac:dyDescent="0.2">
      <c r="A110" s="81" t="s">
        <v>2539</v>
      </c>
      <c r="B110" s="81" t="s">
        <v>978</v>
      </c>
      <c r="C110" s="81" t="s">
        <v>2538</v>
      </c>
      <c r="D110" s="81" t="s">
        <v>3216</v>
      </c>
      <c r="E110" s="81" t="s">
        <v>2762</v>
      </c>
      <c r="F110" s="81" t="s">
        <v>2790</v>
      </c>
      <c r="G110" s="84"/>
      <c r="H110" s="85"/>
      <c r="I110" s="85"/>
      <c r="J110" s="85"/>
      <c r="K110" s="85"/>
      <c r="L110" s="86"/>
    </row>
    <row r="111" spans="1:12" x14ac:dyDescent="0.2">
      <c r="A111" s="81" t="s">
        <v>1328</v>
      </c>
      <c r="B111" s="81" t="s">
        <v>1329</v>
      </c>
      <c r="C111" s="81" t="s">
        <v>1327</v>
      </c>
      <c r="D111" s="81" t="s">
        <v>3229</v>
      </c>
      <c r="E111" s="81" t="s">
        <v>2762</v>
      </c>
      <c r="F111" s="81" t="s">
        <v>2766</v>
      </c>
      <c r="G111" s="84"/>
      <c r="H111" s="85"/>
      <c r="I111" s="85"/>
      <c r="J111" s="85"/>
      <c r="K111" s="85"/>
      <c r="L111" s="86"/>
    </row>
    <row r="112" spans="1:12" x14ac:dyDescent="0.2">
      <c r="A112" s="81" t="s">
        <v>1279</v>
      </c>
      <c r="B112" s="81" t="s">
        <v>1280</v>
      </c>
      <c r="C112" s="81" t="s">
        <v>1278</v>
      </c>
      <c r="D112" s="81" t="s">
        <v>3230</v>
      </c>
      <c r="E112" s="81" t="s">
        <v>2762</v>
      </c>
      <c r="F112" s="81" t="s">
        <v>2766</v>
      </c>
      <c r="G112" s="84"/>
      <c r="H112" s="85"/>
      <c r="I112" s="85"/>
      <c r="J112" s="85"/>
      <c r="K112" s="85"/>
      <c r="L112" s="86"/>
    </row>
    <row r="113" spans="1:12" x14ac:dyDescent="0.2">
      <c r="A113" s="84" t="s">
        <v>1279</v>
      </c>
      <c r="B113" s="84" t="s">
        <v>1280</v>
      </c>
      <c r="C113" s="81" t="s">
        <v>2664</v>
      </c>
      <c r="D113" s="81" t="s">
        <v>3230</v>
      </c>
      <c r="E113" s="81" t="s">
        <v>2762</v>
      </c>
      <c r="F113" s="81" t="s">
        <v>2766</v>
      </c>
      <c r="G113" s="84"/>
      <c r="H113" s="85"/>
      <c r="I113" s="85"/>
      <c r="J113" s="85"/>
      <c r="K113" s="85"/>
      <c r="L113" s="86"/>
    </row>
    <row r="114" spans="1:12" x14ac:dyDescent="0.2">
      <c r="A114" s="81" t="s">
        <v>2219</v>
      </c>
      <c r="B114" s="81" t="s">
        <v>2220</v>
      </c>
      <c r="C114" s="81" t="s">
        <v>2218</v>
      </c>
      <c r="D114" s="81" t="s">
        <v>3231</v>
      </c>
      <c r="E114" s="81" t="s">
        <v>2782</v>
      </c>
      <c r="F114" s="81" t="s">
        <v>2792</v>
      </c>
      <c r="G114" s="84"/>
      <c r="H114" s="85"/>
      <c r="I114" s="85"/>
      <c r="J114" s="85"/>
      <c r="K114" s="85"/>
      <c r="L114" s="86"/>
    </row>
    <row r="115" spans="1:12" x14ac:dyDescent="0.2">
      <c r="A115" s="81" t="s">
        <v>2567</v>
      </c>
      <c r="B115" s="81" t="s">
        <v>2568</v>
      </c>
      <c r="C115" s="81" t="s">
        <v>2566</v>
      </c>
      <c r="D115" s="81" t="s">
        <v>3232</v>
      </c>
      <c r="E115" s="81" t="s">
        <v>2762</v>
      </c>
      <c r="F115" s="81" t="s">
        <v>2764</v>
      </c>
      <c r="G115" s="84"/>
      <c r="H115" s="85"/>
      <c r="I115" s="85"/>
      <c r="J115" s="85"/>
      <c r="K115" s="85"/>
      <c r="L115" s="86"/>
    </row>
    <row r="116" spans="1:12" x14ac:dyDescent="0.2">
      <c r="A116" s="81" t="s">
        <v>1348</v>
      </c>
      <c r="B116" s="81" t="s">
        <v>1349</v>
      </c>
      <c r="C116" s="81" t="s">
        <v>1347</v>
      </c>
      <c r="D116" s="81" t="s">
        <v>3233</v>
      </c>
      <c r="E116" s="81" t="s">
        <v>2762</v>
      </c>
      <c r="F116" s="81" t="s">
        <v>2769</v>
      </c>
      <c r="G116" s="84"/>
      <c r="H116" s="85"/>
      <c r="I116" s="85"/>
      <c r="J116" s="85"/>
      <c r="K116" s="85"/>
      <c r="L116" s="86"/>
    </row>
    <row r="117" spans="1:12" x14ac:dyDescent="0.2">
      <c r="A117" s="81" t="s">
        <v>1599</v>
      </c>
      <c r="B117" s="81" t="s">
        <v>1600</v>
      </c>
      <c r="C117" s="81" t="s">
        <v>1598</v>
      </c>
      <c r="D117" s="81" t="s">
        <v>3234</v>
      </c>
      <c r="E117" s="81" t="s">
        <v>2786</v>
      </c>
      <c r="F117" s="81" t="s">
        <v>2793</v>
      </c>
      <c r="G117" s="84"/>
      <c r="H117" s="85"/>
      <c r="I117" s="85"/>
      <c r="J117" s="85"/>
      <c r="K117" s="85"/>
      <c r="L117" s="86"/>
    </row>
    <row r="118" spans="1:12" x14ac:dyDescent="0.2">
      <c r="A118" s="81" t="s">
        <v>2546</v>
      </c>
      <c r="B118" s="81" t="s">
        <v>1411</v>
      </c>
      <c r="C118" s="81" t="s">
        <v>2545</v>
      </c>
      <c r="D118" s="81" t="s">
        <v>3235</v>
      </c>
      <c r="E118" s="81" t="s">
        <v>2762</v>
      </c>
      <c r="F118" s="81" t="s">
        <v>2769</v>
      </c>
      <c r="G118" s="84"/>
      <c r="H118" s="85"/>
      <c r="I118" s="85"/>
      <c r="J118" s="85"/>
      <c r="K118" s="85"/>
      <c r="L118" s="86"/>
    </row>
    <row r="119" spans="1:12" x14ac:dyDescent="0.2">
      <c r="A119" s="81" t="s">
        <v>2548</v>
      </c>
      <c r="B119" s="81" t="s">
        <v>3158</v>
      </c>
      <c r="C119" s="81" t="s">
        <v>2547</v>
      </c>
      <c r="D119" s="81" t="s">
        <v>3187</v>
      </c>
      <c r="E119" s="81" t="s">
        <v>2759</v>
      </c>
      <c r="F119" s="81" t="s">
        <v>2760</v>
      </c>
      <c r="G119" s="84"/>
      <c r="H119" s="85"/>
      <c r="I119" s="85"/>
      <c r="J119" s="85"/>
      <c r="K119" s="85"/>
      <c r="L119" s="86"/>
    </row>
    <row r="120" spans="1:12" x14ac:dyDescent="0.2">
      <c r="A120" s="81" t="s">
        <v>1298</v>
      </c>
      <c r="B120" s="81" t="s">
        <v>1299</v>
      </c>
      <c r="C120" s="81" t="s">
        <v>1297</v>
      </c>
      <c r="D120" s="81" t="s">
        <v>3236</v>
      </c>
      <c r="E120" s="81" t="s">
        <v>2762</v>
      </c>
      <c r="F120" s="81" t="s">
        <v>2774</v>
      </c>
      <c r="G120" s="84"/>
      <c r="H120" s="85"/>
      <c r="I120" s="85"/>
      <c r="J120" s="85"/>
      <c r="K120" s="85"/>
      <c r="L120" s="86"/>
    </row>
    <row r="121" spans="1:12" x14ac:dyDescent="0.2">
      <c r="A121" s="81" t="s">
        <v>1557</v>
      </c>
      <c r="B121" s="81" t="s">
        <v>1558</v>
      </c>
      <c r="C121" s="81" t="s">
        <v>1556</v>
      </c>
      <c r="D121" s="81" t="s">
        <v>3237</v>
      </c>
      <c r="E121" s="81" t="s">
        <v>2786</v>
      </c>
      <c r="F121" s="81" t="s">
        <v>2795</v>
      </c>
      <c r="G121" s="84"/>
      <c r="H121" s="85"/>
      <c r="I121" s="85"/>
      <c r="J121" s="85"/>
      <c r="K121" s="85"/>
      <c r="L121" s="86"/>
    </row>
    <row r="122" spans="1:12" x14ac:dyDescent="0.2">
      <c r="A122" s="81" t="s">
        <v>1499</v>
      </c>
      <c r="B122" s="81" t="s">
        <v>1500</v>
      </c>
      <c r="C122" s="81" t="s">
        <v>1498</v>
      </c>
      <c r="D122" s="81" t="s">
        <v>3238</v>
      </c>
      <c r="E122" s="81" t="s">
        <v>2762</v>
      </c>
      <c r="F122" s="81" t="s">
        <v>2774</v>
      </c>
      <c r="G122" s="84"/>
      <c r="H122" s="85"/>
      <c r="I122" s="85"/>
      <c r="J122" s="85"/>
      <c r="K122" s="85"/>
      <c r="L122" s="86"/>
    </row>
    <row r="123" spans="1:12" x14ac:dyDescent="0.2">
      <c r="A123" s="81" t="s">
        <v>1495</v>
      </c>
      <c r="B123" s="81" t="s">
        <v>1496</v>
      </c>
      <c r="C123" s="81" t="s">
        <v>1494</v>
      </c>
      <c r="D123" s="81" t="s">
        <v>3239</v>
      </c>
      <c r="E123" s="81" t="s">
        <v>2762</v>
      </c>
      <c r="F123" s="81" t="s">
        <v>2764</v>
      </c>
      <c r="G123" s="84"/>
      <c r="H123" s="85"/>
      <c r="I123" s="85"/>
      <c r="J123" s="85"/>
      <c r="K123" s="85"/>
      <c r="L123" s="86"/>
    </row>
    <row r="124" spans="1:12" x14ac:dyDescent="0.2">
      <c r="A124" s="81" t="s">
        <v>2500</v>
      </c>
      <c r="B124" s="81" t="s">
        <v>969</v>
      </c>
      <c r="C124" s="81" t="s">
        <v>2499</v>
      </c>
      <c r="D124" s="81" t="s">
        <v>3228</v>
      </c>
      <c r="E124" s="81" t="s">
        <v>2759</v>
      </c>
      <c r="F124" s="81" t="s">
        <v>2760</v>
      </c>
      <c r="G124" s="84"/>
      <c r="H124" s="85"/>
      <c r="I124" s="85"/>
      <c r="J124" s="85"/>
      <c r="K124" s="85"/>
      <c r="L124" s="86"/>
    </row>
    <row r="125" spans="1:12" x14ac:dyDescent="0.2">
      <c r="A125" s="81" t="s">
        <v>2498</v>
      </c>
      <c r="B125" s="81" t="s">
        <v>964</v>
      </c>
      <c r="C125" s="81" t="s">
        <v>2497</v>
      </c>
      <c r="D125" s="81" t="s">
        <v>3220</v>
      </c>
      <c r="E125" s="81" t="s">
        <v>2759</v>
      </c>
      <c r="F125" s="81" t="s">
        <v>2761</v>
      </c>
      <c r="G125" s="84"/>
      <c r="H125" s="85"/>
      <c r="I125" s="85"/>
      <c r="J125" s="85"/>
      <c r="K125" s="85"/>
      <c r="L125" s="86"/>
    </row>
    <row r="126" spans="1:12" x14ac:dyDescent="0.2">
      <c r="A126" s="81" t="s">
        <v>2496</v>
      </c>
      <c r="B126" s="81" t="s">
        <v>954</v>
      </c>
      <c r="C126" s="81" t="s">
        <v>2495</v>
      </c>
      <c r="D126" s="81" t="s">
        <v>3187</v>
      </c>
      <c r="E126" s="81" t="s">
        <v>2759</v>
      </c>
      <c r="F126" s="81" t="s">
        <v>2760</v>
      </c>
      <c r="G126" s="84"/>
      <c r="H126" s="85"/>
      <c r="I126" s="85"/>
      <c r="J126" s="85"/>
      <c r="K126" s="85"/>
      <c r="L126" s="86"/>
    </row>
    <row r="127" spans="1:12" x14ac:dyDescent="0.2">
      <c r="A127" s="81" t="s">
        <v>1781</v>
      </c>
      <c r="B127" s="81" t="s">
        <v>1782</v>
      </c>
      <c r="C127" s="81" t="s">
        <v>1780</v>
      </c>
      <c r="D127" s="81" t="s">
        <v>3240</v>
      </c>
      <c r="E127" s="81" t="s">
        <v>2775</v>
      </c>
      <c r="F127" s="81" t="s">
        <v>2796</v>
      </c>
      <c r="G127" s="84"/>
      <c r="H127" s="85"/>
      <c r="I127" s="85"/>
      <c r="J127" s="85"/>
      <c r="K127" s="85"/>
      <c r="L127" s="86"/>
    </row>
    <row r="128" spans="1:12" x14ac:dyDescent="0.2">
      <c r="A128" s="81" t="s">
        <v>1874</v>
      </c>
      <c r="B128" s="81" t="s">
        <v>1875</v>
      </c>
      <c r="C128" s="81" t="s">
        <v>1873</v>
      </c>
      <c r="D128" s="81" t="s">
        <v>3241</v>
      </c>
      <c r="E128" s="81" t="s">
        <v>2770</v>
      </c>
      <c r="F128" s="81" t="s">
        <v>2777</v>
      </c>
      <c r="G128" s="84"/>
      <c r="H128" s="85"/>
      <c r="I128" s="85"/>
      <c r="J128" s="85"/>
      <c r="K128" s="85"/>
      <c r="L128" s="86"/>
    </row>
    <row r="129" spans="1:12" x14ac:dyDescent="0.2">
      <c r="A129" s="81" t="s">
        <v>1301</v>
      </c>
      <c r="B129" s="81" t="s">
        <v>1302</v>
      </c>
      <c r="C129" s="81" t="s">
        <v>1300</v>
      </c>
      <c r="D129" s="81" t="s">
        <v>3242</v>
      </c>
      <c r="E129" s="81" t="s">
        <v>2762</v>
      </c>
      <c r="F129" s="81" t="s">
        <v>2769</v>
      </c>
      <c r="G129" s="84"/>
      <c r="H129" s="85"/>
      <c r="I129" s="85"/>
      <c r="J129" s="85"/>
      <c r="K129" s="85"/>
      <c r="L129" s="86"/>
    </row>
    <row r="130" spans="1:12" x14ac:dyDescent="0.2">
      <c r="A130" s="81" t="s">
        <v>1410</v>
      </c>
      <c r="B130" s="81" t="s">
        <v>1411</v>
      </c>
      <c r="C130" s="81" t="s">
        <v>1409</v>
      </c>
      <c r="D130" s="81" t="s">
        <v>3235</v>
      </c>
      <c r="E130" s="81" t="s">
        <v>2762</v>
      </c>
      <c r="F130" s="81" t="s">
        <v>2769</v>
      </c>
      <c r="G130" s="84"/>
      <c r="H130" s="85"/>
      <c r="I130" s="85"/>
      <c r="J130" s="85"/>
      <c r="K130" s="85"/>
      <c r="L130" s="86"/>
    </row>
    <row r="131" spans="1:12" x14ac:dyDescent="0.2">
      <c r="A131" s="81" t="s">
        <v>3129</v>
      </c>
      <c r="B131" s="81" t="s">
        <v>3131</v>
      </c>
      <c r="C131" s="81" t="s">
        <v>3130</v>
      </c>
      <c r="D131" s="81" t="s">
        <v>3243</v>
      </c>
      <c r="E131" s="81" t="s">
        <v>2782</v>
      </c>
      <c r="F131" s="81" t="s">
        <v>2819</v>
      </c>
      <c r="G131" s="84"/>
      <c r="H131" s="85"/>
      <c r="I131" s="85"/>
      <c r="J131" s="85"/>
      <c r="K131" s="85"/>
      <c r="L131" s="86"/>
    </row>
    <row r="132" spans="1:12" x14ac:dyDescent="0.2">
      <c r="A132" s="81" t="s">
        <v>2190</v>
      </c>
      <c r="B132" s="81" t="s">
        <v>2191</v>
      </c>
      <c r="C132" s="81" t="s">
        <v>2189</v>
      </c>
      <c r="D132" s="81" t="s">
        <v>3244</v>
      </c>
      <c r="E132" s="81" t="s">
        <v>2780</v>
      </c>
      <c r="F132" s="81" t="s">
        <v>2797</v>
      </c>
      <c r="G132" s="84"/>
      <c r="H132" s="85"/>
      <c r="I132" s="85"/>
      <c r="J132" s="85"/>
      <c r="K132" s="85"/>
      <c r="L132" s="86"/>
    </row>
    <row r="133" spans="1:12" x14ac:dyDescent="0.2">
      <c r="A133" s="81" t="s">
        <v>1713</v>
      </c>
      <c r="B133" s="81" t="s">
        <v>1714</v>
      </c>
      <c r="C133" s="81" t="s">
        <v>1712</v>
      </c>
      <c r="D133" s="81" t="s">
        <v>3245</v>
      </c>
      <c r="E133" s="81" t="s">
        <v>2775</v>
      </c>
      <c r="F133" s="81" t="s">
        <v>2778</v>
      </c>
      <c r="G133" s="84"/>
      <c r="H133" s="85"/>
      <c r="I133" s="85"/>
      <c r="J133" s="85"/>
      <c r="K133" s="85"/>
      <c r="L133" s="86"/>
    </row>
    <row r="134" spans="1:12" x14ac:dyDescent="0.2">
      <c r="A134" s="81" t="s">
        <v>1228</v>
      </c>
      <c r="B134" s="81" t="s">
        <v>1229</v>
      </c>
      <c r="C134" s="81" t="s">
        <v>1227</v>
      </c>
      <c r="D134" s="81" t="s">
        <v>3246</v>
      </c>
      <c r="E134" s="81" t="s">
        <v>2767</v>
      </c>
      <c r="F134" s="81" t="s">
        <v>2798</v>
      </c>
      <c r="G134" s="84"/>
      <c r="H134" s="85"/>
      <c r="I134" s="85"/>
      <c r="J134" s="85"/>
      <c r="K134" s="85"/>
      <c r="L134" s="86"/>
    </row>
    <row r="135" spans="1:12" x14ac:dyDescent="0.2">
      <c r="A135" s="81" t="s">
        <v>1235</v>
      </c>
      <c r="B135" s="81" t="s">
        <v>816</v>
      </c>
      <c r="C135" s="81" t="s">
        <v>1234</v>
      </c>
      <c r="D135" s="81" t="s">
        <v>3189</v>
      </c>
      <c r="E135" s="81" t="s">
        <v>2762</v>
      </c>
      <c r="F135" s="81" t="s">
        <v>2766</v>
      </c>
      <c r="G135" s="84"/>
      <c r="H135" s="85"/>
      <c r="I135" s="85"/>
      <c r="J135" s="85"/>
      <c r="K135" s="85"/>
      <c r="L135" s="86"/>
    </row>
    <row r="136" spans="1:12" x14ac:dyDescent="0.2">
      <c r="A136" s="81" t="s">
        <v>1233</v>
      </c>
      <c r="B136" s="81" t="s">
        <v>997</v>
      </c>
      <c r="C136" s="81" t="s">
        <v>1232</v>
      </c>
      <c r="D136" s="81" t="s">
        <v>3247</v>
      </c>
      <c r="E136" s="81" t="s">
        <v>2762</v>
      </c>
      <c r="F136" s="81" t="s">
        <v>2763</v>
      </c>
      <c r="G136" s="84"/>
      <c r="H136" s="85"/>
      <c r="I136" s="85"/>
      <c r="J136" s="85"/>
      <c r="K136" s="85"/>
      <c r="L136" s="86"/>
    </row>
    <row r="137" spans="1:12" x14ac:dyDescent="0.2">
      <c r="A137" s="81" t="s">
        <v>2172</v>
      </c>
      <c r="B137" s="81" t="s">
        <v>2173</v>
      </c>
      <c r="C137" s="81" t="s">
        <v>2171</v>
      </c>
      <c r="D137" s="81" t="s">
        <v>3248</v>
      </c>
      <c r="E137" s="81" t="s">
        <v>2780</v>
      </c>
      <c r="F137" s="81" t="s">
        <v>2799</v>
      </c>
      <c r="G137" s="84"/>
      <c r="H137" s="85"/>
      <c r="I137" s="85"/>
      <c r="J137" s="85"/>
      <c r="K137" s="85"/>
      <c r="L137" s="86"/>
    </row>
    <row r="138" spans="1:12" x14ac:dyDescent="0.2">
      <c r="A138" s="81" t="s">
        <v>2062</v>
      </c>
      <c r="B138" s="81" t="s">
        <v>2063</v>
      </c>
      <c r="C138" s="81" t="s">
        <v>2061</v>
      </c>
      <c r="D138" s="81" t="s">
        <v>3249</v>
      </c>
      <c r="E138" s="81" t="s">
        <v>2770</v>
      </c>
      <c r="F138" s="81" t="s">
        <v>2789</v>
      </c>
      <c r="G138" s="84"/>
      <c r="H138" s="85"/>
      <c r="I138" s="85"/>
      <c r="J138" s="85"/>
      <c r="K138" s="85"/>
      <c r="L138" s="86"/>
    </row>
    <row r="139" spans="1:12" x14ac:dyDescent="0.2">
      <c r="A139" s="81" t="s">
        <v>2356</v>
      </c>
      <c r="B139" s="81" t="s">
        <v>2357</v>
      </c>
      <c r="C139" s="81" t="s">
        <v>2355</v>
      </c>
      <c r="D139" s="81" t="s">
        <v>3250</v>
      </c>
      <c r="E139" s="81" t="s">
        <v>2791</v>
      </c>
      <c r="F139" s="81" t="s">
        <v>2800</v>
      </c>
      <c r="G139" s="84"/>
      <c r="H139" s="85"/>
      <c r="I139" s="85"/>
      <c r="J139" s="85"/>
      <c r="K139" s="85"/>
      <c r="L139" s="86"/>
    </row>
    <row r="140" spans="1:12" x14ac:dyDescent="0.2">
      <c r="A140" s="81" t="s">
        <v>1761</v>
      </c>
      <c r="B140" s="81" t="s">
        <v>1762</v>
      </c>
      <c r="C140" s="81" t="s">
        <v>1760</v>
      </c>
      <c r="D140" s="81" t="s">
        <v>3251</v>
      </c>
      <c r="E140" s="81" t="s">
        <v>2775</v>
      </c>
      <c r="F140" s="81" t="s">
        <v>2801</v>
      </c>
      <c r="G140" s="84"/>
      <c r="H140" s="85"/>
      <c r="I140" s="85"/>
      <c r="J140" s="85"/>
      <c r="K140" s="85"/>
      <c r="L140" s="86"/>
    </row>
    <row r="141" spans="1:12" x14ac:dyDescent="0.2">
      <c r="A141" s="81" t="s">
        <v>1147</v>
      </c>
      <c r="B141" s="81" t="s">
        <v>1148</v>
      </c>
      <c r="C141" s="81" t="s">
        <v>1146</v>
      </c>
      <c r="D141" s="81" t="s">
        <v>3252</v>
      </c>
      <c r="E141" s="81" t="s">
        <v>2772</v>
      </c>
      <c r="F141" s="81" t="s">
        <v>2802</v>
      </c>
      <c r="G141" s="84"/>
      <c r="H141" s="85"/>
      <c r="I141" s="85"/>
      <c r="J141" s="85"/>
      <c r="K141" s="85"/>
      <c r="L141" s="86"/>
    </row>
    <row r="142" spans="1:12" x14ac:dyDescent="0.2">
      <c r="A142" s="84" t="s">
        <v>1147</v>
      </c>
      <c r="B142" s="84" t="s">
        <v>1148</v>
      </c>
      <c r="C142" s="81" t="s">
        <v>2596</v>
      </c>
      <c r="D142" s="81" t="s">
        <v>3252</v>
      </c>
      <c r="E142" s="81" t="s">
        <v>2772</v>
      </c>
      <c r="F142" s="81" t="s">
        <v>2802</v>
      </c>
      <c r="G142" s="84"/>
      <c r="H142" s="85"/>
      <c r="I142" s="85"/>
      <c r="J142" s="85"/>
      <c r="K142" s="85"/>
      <c r="L142" s="86"/>
    </row>
    <row r="143" spans="1:12" x14ac:dyDescent="0.2">
      <c r="A143" s="81" t="s">
        <v>1067</v>
      </c>
      <c r="B143" s="81" t="s">
        <v>1068</v>
      </c>
      <c r="C143" s="81" t="s">
        <v>1066</v>
      </c>
      <c r="D143" s="81" t="s">
        <v>3253</v>
      </c>
      <c r="E143" s="81" t="s">
        <v>2772</v>
      </c>
      <c r="F143" s="81" t="s">
        <v>2803</v>
      </c>
      <c r="G143" s="84"/>
      <c r="H143" s="85"/>
      <c r="I143" s="85"/>
      <c r="J143" s="85"/>
      <c r="K143" s="85"/>
      <c r="L143" s="86"/>
    </row>
    <row r="144" spans="1:12" x14ac:dyDescent="0.2">
      <c r="A144" s="81" t="s">
        <v>3069</v>
      </c>
      <c r="B144" s="81" t="s">
        <v>3071</v>
      </c>
      <c r="C144" s="81" t="s">
        <v>3070</v>
      </c>
      <c r="D144" s="81" t="s">
        <v>3254</v>
      </c>
      <c r="E144" s="81" t="s">
        <v>2772</v>
      </c>
      <c r="F144" s="81" t="s">
        <v>2788</v>
      </c>
      <c r="G144" s="84"/>
      <c r="H144" s="85"/>
      <c r="I144" s="85"/>
      <c r="J144" s="85"/>
      <c r="K144" s="85"/>
      <c r="L144" s="86"/>
    </row>
    <row r="145" spans="1:12" x14ac:dyDescent="0.2">
      <c r="A145" s="81" t="s">
        <v>704</v>
      </c>
      <c r="B145" s="81" t="s">
        <v>705</v>
      </c>
      <c r="C145" s="81" t="s">
        <v>703</v>
      </c>
      <c r="D145" s="81" t="s">
        <v>3255</v>
      </c>
      <c r="E145" s="81" t="s">
        <v>2804</v>
      </c>
      <c r="F145" s="81" t="s">
        <v>2805</v>
      </c>
      <c r="G145" s="84"/>
      <c r="H145" s="85"/>
      <c r="I145" s="85"/>
      <c r="J145" s="85"/>
      <c r="K145" s="85"/>
      <c r="L145" s="86"/>
    </row>
    <row r="146" spans="1:12" x14ac:dyDescent="0.2">
      <c r="A146" s="81" t="s">
        <v>1096</v>
      </c>
      <c r="B146" s="81" t="s">
        <v>1097</v>
      </c>
      <c r="C146" s="81" t="s">
        <v>1095</v>
      </c>
      <c r="D146" s="81" t="s">
        <v>3256</v>
      </c>
      <c r="E146" s="81" t="s">
        <v>2772</v>
      </c>
      <c r="F146" s="81" t="s">
        <v>2764</v>
      </c>
      <c r="G146" s="84"/>
      <c r="H146" s="85"/>
      <c r="I146" s="85"/>
      <c r="J146" s="85"/>
      <c r="K146" s="85"/>
      <c r="L146" s="86"/>
    </row>
    <row r="147" spans="1:12" x14ac:dyDescent="0.2">
      <c r="A147" s="81" t="s">
        <v>1036</v>
      </c>
      <c r="B147" s="81" t="s">
        <v>1037</v>
      </c>
      <c r="C147" s="81" t="s">
        <v>1035</v>
      </c>
      <c r="D147" s="81" t="s">
        <v>3257</v>
      </c>
      <c r="E147" s="81" t="s">
        <v>2772</v>
      </c>
      <c r="F147" s="81" t="s">
        <v>2806</v>
      </c>
      <c r="G147" s="84"/>
      <c r="H147" s="85"/>
      <c r="I147" s="85"/>
      <c r="J147" s="85"/>
      <c r="K147" s="85"/>
      <c r="L147" s="86"/>
    </row>
    <row r="148" spans="1:12" x14ac:dyDescent="0.2">
      <c r="A148" s="84" t="s">
        <v>1036</v>
      </c>
      <c r="B148" s="84" t="s">
        <v>1037</v>
      </c>
      <c r="C148" s="81" t="s">
        <v>2587</v>
      </c>
      <c r="D148" s="81" t="s">
        <v>3257</v>
      </c>
      <c r="E148" s="81" t="s">
        <v>2772</v>
      </c>
      <c r="F148" s="81" t="s">
        <v>2806</v>
      </c>
      <c r="G148" s="84"/>
      <c r="H148" s="85"/>
      <c r="I148" s="85"/>
      <c r="J148" s="85"/>
      <c r="K148" s="85"/>
      <c r="L148" s="86"/>
    </row>
    <row r="149" spans="1:12" x14ac:dyDescent="0.2">
      <c r="A149" s="81" t="s">
        <v>2589</v>
      </c>
      <c r="B149" s="81" t="s">
        <v>1163</v>
      </c>
      <c r="C149" s="81" t="s">
        <v>2588</v>
      </c>
      <c r="D149" s="81" t="s">
        <v>3258</v>
      </c>
      <c r="E149" s="81" t="s">
        <v>2772</v>
      </c>
      <c r="F149" s="81" t="s">
        <v>2807</v>
      </c>
      <c r="G149" s="84"/>
      <c r="H149" s="85"/>
      <c r="I149" s="85"/>
      <c r="J149" s="85"/>
      <c r="K149" s="85"/>
      <c r="L149" s="86"/>
    </row>
    <row r="150" spans="1:12" x14ac:dyDescent="0.2">
      <c r="A150" s="81" t="s">
        <v>1157</v>
      </c>
      <c r="B150" s="81" t="s">
        <v>1158</v>
      </c>
      <c r="C150" s="81" t="s">
        <v>1156</v>
      </c>
      <c r="D150" s="81" t="s">
        <v>3259</v>
      </c>
      <c r="E150" s="81" t="s">
        <v>2772</v>
      </c>
      <c r="F150" s="81" t="s">
        <v>2808</v>
      </c>
      <c r="G150" s="84"/>
      <c r="H150" s="85"/>
      <c r="I150" s="85"/>
      <c r="J150" s="85"/>
      <c r="K150" s="85"/>
      <c r="L150" s="86"/>
    </row>
    <row r="151" spans="1:12" x14ac:dyDescent="0.2">
      <c r="A151" s="84" t="s">
        <v>1157</v>
      </c>
      <c r="B151" s="84" t="s">
        <v>1158</v>
      </c>
      <c r="C151" s="81" t="s">
        <v>2597</v>
      </c>
      <c r="D151" s="81" t="s">
        <v>3259</v>
      </c>
      <c r="E151" s="81" t="s">
        <v>2772</v>
      </c>
      <c r="F151" s="81" t="s">
        <v>2808</v>
      </c>
      <c r="G151" s="84"/>
      <c r="H151" s="85"/>
      <c r="I151" s="85"/>
      <c r="J151" s="85"/>
      <c r="K151" s="85"/>
      <c r="L151" s="86"/>
    </row>
    <row r="152" spans="1:12" x14ac:dyDescent="0.2">
      <c r="A152" s="81" t="s">
        <v>1162</v>
      </c>
      <c r="B152" s="81" t="s">
        <v>1163</v>
      </c>
      <c r="C152" s="81" t="s">
        <v>1161</v>
      </c>
      <c r="D152" s="81" t="s">
        <v>3258</v>
      </c>
      <c r="E152" s="81" t="s">
        <v>2772</v>
      </c>
      <c r="F152" s="81" t="s">
        <v>2807</v>
      </c>
      <c r="G152" s="84"/>
      <c r="H152" s="85"/>
      <c r="I152" s="85"/>
      <c r="J152" s="85"/>
      <c r="K152" s="85"/>
      <c r="L152" s="86"/>
    </row>
    <row r="153" spans="1:12" x14ac:dyDescent="0.2">
      <c r="A153" s="84" t="s">
        <v>1162</v>
      </c>
      <c r="B153" s="84" t="s">
        <v>1163</v>
      </c>
      <c r="C153" s="81" t="s">
        <v>2598</v>
      </c>
      <c r="D153" s="81" t="s">
        <v>3258</v>
      </c>
      <c r="E153" s="81" t="s">
        <v>2772</v>
      </c>
      <c r="F153" s="81" t="s">
        <v>2807</v>
      </c>
      <c r="G153" s="84"/>
      <c r="H153" s="85"/>
      <c r="I153" s="85"/>
      <c r="J153" s="85"/>
      <c r="K153" s="85"/>
      <c r="L153" s="86"/>
    </row>
    <row r="154" spans="1:12" x14ac:dyDescent="0.2">
      <c r="A154" s="81" t="s">
        <v>1072</v>
      </c>
      <c r="B154" s="81" t="s">
        <v>1073</v>
      </c>
      <c r="C154" s="81" t="s">
        <v>1071</v>
      </c>
      <c r="D154" s="81" t="s">
        <v>3260</v>
      </c>
      <c r="E154" s="81" t="s">
        <v>2772</v>
      </c>
      <c r="F154" s="81" t="s">
        <v>2802</v>
      </c>
      <c r="G154" s="84"/>
      <c r="H154" s="85"/>
      <c r="I154" s="85"/>
      <c r="J154" s="85"/>
      <c r="K154" s="85"/>
      <c r="L154" s="86"/>
    </row>
    <row r="155" spans="1:12" x14ac:dyDescent="0.2">
      <c r="A155" s="84" t="s">
        <v>1072</v>
      </c>
      <c r="B155" s="84" t="s">
        <v>1073</v>
      </c>
      <c r="C155" s="81" t="s">
        <v>2593</v>
      </c>
      <c r="D155" s="81" t="s">
        <v>3260</v>
      </c>
      <c r="E155" s="81" t="s">
        <v>2772</v>
      </c>
      <c r="F155" s="81" t="s">
        <v>2802</v>
      </c>
      <c r="G155" s="84"/>
      <c r="H155" s="85"/>
      <c r="I155" s="85"/>
      <c r="J155" s="85"/>
      <c r="K155" s="85"/>
      <c r="L155" s="86"/>
    </row>
    <row r="156" spans="1:12" x14ac:dyDescent="0.2">
      <c r="A156" s="81" t="s">
        <v>1078</v>
      </c>
      <c r="B156" s="81" t="s">
        <v>1079</v>
      </c>
      <c r="C156" s="81" t="s">
        <v>1077</v>
      </c>
      <c r="D156" s="81" t="s">
        <v>3261</v>
      </c>
      <c r="E156" s="81" t="s">
        <v>2772</v>
      </c>
      <c r="F156" s="81" t="s">
        <v>2808</v>
      </c>
      <c r="G156" s="84"/>
      <c r="H156" s="85"/>
      <c r="I156" s="85"/>
      <c r="J156" s="85"/>
      <c r="K156" s="85"/>
      <c r="L156" s="86"/>
    </row>
    <row r="157" spans="1:12" x14ac:dyDescent="0.2">
      <c r="A157" s="84" t="s">
        <v>1078</v>
      </c>
      <c r="B157" s="84" t="s">
        <v>1079</v>
      </c>
      <c r="C157" s="81" t="s">
        <v>2594</v>
      </c>
      <c r="D157" s="81" t="s">
        <v>3261</v>
      </c>
      <c r="E157" s="81" t="s">
        <v>2772</v>
      </c>
      <c r="F157" s="81" t="s">
        <v>2764</v>
      </c>
      <c r="G157" s="84"/>
      <c r="H157" s="85"/>
      <c r="I157" s="85"/>
      <c r="J157" s="85"/>
      <c r="K157" s="85"/>
      <c r="L157" s="86"/>
    </row>
    <row r="158" spans="1:12" x14ac:dyDescent="0.2">
      <c r="A158" s="81" t="s">
        <v>1170</v>
      </c>
      <c r="B158" s="81" t="s">
        <v>1171</v>
      </c>
      <c r="C158" s="81" t="s">
        <v>1169</v>
      </c>
      <c r="D158" s="81" t="s">
        <v>3262</v>
      </c>
      <c r="E158" s="81" t="s">
        <v>2772</v>
      </c>
      <c r="F158" s="81" t="s">
        <v>2764</v>
      </c>
      <c r="G158" s="84"/>
      <c r="H158" s="85"/>
      <c r="I158" s="85"/>
      <c r="J158" s="85"/>
      <c r="K158" s="85"/>
      <c r="L158" s="86"/>
    </row>
    <row r="159" spans="1:12" x14ac:dyDescent="0.2">
      <c r="A159" s="81" t="s">
        <v>3072</v>
      </c>
      <c r="B159" s="81" t="s">
        <v>3071</v>
      </c>
      <c r="C159" s="81" t="s">
        <v>3073</v>
      </c>
      <c r="D159" s="81" t="s">
        <v>3254</v>
      </c>
      <c r="E159" s="81" t="s">
        <v>2772</v>
      </c>
      <c r="F159" s="81" t="s">
        <v>2802</v>
      </c>
      <c r="G159" s="84"/>
      <c r="H159" s="85"/>
      <c r="I159" s="85"/>
      <c r="J159" s="85"/>
      <c r="K159" s="85"/>
      <c r="L159" s="86"/>
    </row>
    <row r="160" spans="1:12" x14ac:dyDescent="0.2">
      <c r="A160" s="81" t="s">
        <v>1016</v>
      </c>
      <c r="B160" s="81" t="s">
        <v>1017</v>
      </c>
      <c r="C160" s="81" t="s">
        <v>1015</v>
      </c>
      <c r="D160" s="81" t="s">
        <v>3263</v>
      </c>
      <c r="E160" s="81" t="s">
        <v>2772</v>
      </c>
      <c r="F160" s="81" t="s">
        <v>2806</v>
      </c>
      <c r="G160" s="84"/>
      <c r="H160" s="85"/>
      <c r="I160" s="85"/>
      <c r="J160" s="85"/>
      <c r="K160" s="85"/>
      <c r="L160" s="86"/>
    </row>
    <row r="161" spans="1:12" x14ac:dyDescent="0.2">
      <c r="A161" s="84" t="s">
        <v>1016</v>
      </c>
      <c r="B161" s="81" t="s">
        <v>2585</v>
      </c>
      <c r="C161" s="81" t="s">
        <v>2584</v>
      </c>
      <c r="D161" s="81" t="s">
        <v>3263</v>
      </c>
      <c r="E161" s="81" t="s">
        <v>2772</v>
      </c>
      <c r="F161" s="81" t="s">
        <v>2806</v>
      </c>
      <c r="G161" s="84"/>
      <c r="H161" s="85"/>
      <c r="I161" s="85"/>
      <c r="J161" s="85"/>
      <c r="K161" s="85"/>
      <c r="L161" s="86"/>
    </row>
    <row r="162" spans="1:12" x14ac:dyDescent="0.2">
      <c r="A162" s="81" t="s">
        <v>3063</v>
      </c>
      <c r="B162" s="81" t="s">
        <v>3065</v>
      </c>
      <c r="C162" s="81" t="s">
        <v>3064</v>
      </c>
      <c r="D162" s="81" t="s">
        <v>3264</v>
      </c>
      <c r="E162" s="81" t="s">
        <v>2772</v>
      </c>
      <c r="F162" s="81" t="s">
        <v>3066</v>
      </c>
      <c r="G162" s="84"/>
      <c r="H162" s="85"/>
      <c r="I162" s="85"/>
      <c r="J162" s="85"/>
      <c r="K162" s="85"/>
      <c r="L162" s="86"/>
    </row>
    <row r="163" spans="1:12" x14ac:dyDescent="0.2">
      <c r="A163" s="81" t="s">
        <v>2302</v>
      </c>
      <c r="B163" s="81" t="s">
        <v>2303</v>
      </c>
      <c r="C163" s="81" t="s">
        <v>2301</v>
      </c>
      <c r="D163" s="81" t="s">
        <v>3265</v>
      </c>
      <c r="E163" s="81" t="s">
        <v>2791</v>
      </c>
      <c r="F163" s="81" t="s">
        <v>2809</v>
      </c>
      <c r="G163" s="84"/>
      <c r="H163" s="85"/>
      <c r="I163" s="85"/>
      <c r="J163" s="85"/>
      <c r="K163" s="85"/>
      <c r="L163" s="86"/>
    </row>
    <row r="164" spans="1:12" x14ac:dyDescent="0.2">
      <c r="A164" s="81" t="s">
        <v>1930</v>
      </c>
      <c r="B164" s="81" t="s">
        <v>1931</v>
      </c>
      <c r="C164" s="81" t="s">
        <v>1929</v>
      </c>
      <c r="D164" s="81" t="s">
        <v>3266</v>
      </c>
      <c r="E164" s="81" t="s">
        <v>2782</v>
      </c>
      <c r="F164" s="81" t="s">
        <v>1920</v>
      </c>
      <c r="G164" s="84"/>
      <c r="H164" s="85"/>
      <c r="I164" s="85"/>
      <c r="J164" s="85"/>
      <c r="K164" s="85"/>
      <c r="L164" s="86"/>
    </row>
    <row r="165" spans="1:12" x14ac:dyDescent="0.2">
      <c r="A165" s="81" t="s">
        <v>1935</v>
      </c>
      <c r="B165" s="81" t="s">
        <v>909</v>
      </c>
      <c r="C165" s="81" t="s">
        <v>1934</v>
      </c>
      <c r="D165" s="81" t="s">
        <v>3224</v>
      </c>
      <c r="E165" s="81" t="s">
        <v>2782</v>
      </c>
      <c r="F165" s="81" t="s">
        <v>2792</v>
      </c>
      <c r="G165" s="84"/>
      <c r="H165" s="85"/>
      <c r="I165" s="85"/>
      <c r="J165" s="85"/>
      <c r="K165" s="85"/>
      <c r="L165" s="86"/>
    </row>
    <row r="166" spans="1:12" x14ac:dyDescent="0.2">
      <c r="A166" s="81" t="s">
        <v>1937</v>
      </c>
      <c r="B166" s="81" t="s">
        <v>1926</v>
      </c>
      <c r="C166" s="81" t="s">
        <v>1936</v>
      </c>
      <c r="D166" s="81" t="s">
        <v>3227</v>
      </c>
      <c r="E166" s="81" t="s">
        <v>2782</v>
      </c>
      <c r="F166" s="81" t="s">
        <v>2784</v>
      </c>
      <c r="G166" s="84"/>
      <c r="H166" s="85"/>
      <c r="I166" s="85"/>
      <c r="J166" s="85"/>
      <c r="K166" s="85"/>
      <c r="L166" s="86"/>
    </row>
    <row r="167" spans="1:12" x14ac:dyDescent="0.2">
      <c r="A167" s="81" t="s">
        <v>2008</v>
      </c>
      <c r="B167" s="81" t="s">
        <v>2009</v>
      </c>
      <c r="C167" s="81" t="s">
        <v>2007</v>
      </c>
      <c r="D167" s="81" t="s">
        <v>3267</v>
      </c>
      <c r="E167" s="81" t="s">
        <v>2770</v>
      </c>
      <c r="F167" s="81" t="s">
        <v>2789</v>
      </c>
      <c r="G167" s="84"/>
      <c r="H167" s="85"/>
      <c r="I167" s="85"/>
      <c r="J167" s="85"/>
      <c r="K167" s="85"/>
      <c r="L167" s="86"/>
    </row>
    <row r="168" spans="1:12" x14ac:dyDescent="0.2">
      <c r="A168" s="81" t="s">
        <v>2006</v>
      </c>
      <c r="B168" s="81" t="s">
        <v>1830</v>
      </c>
      <c r="C168" s="81" t="s">
        <v>2005</v>
      </c>
      <c r="D168" s="81" t="s">
        <v>3268</v>
      </c>
      <c r="E168" s="81" t="s">
        <v>2770</v>
      </c>
      <c r="F168" s="81" t="s">
        <v>2789</v>
      </c>
      <c r="G168" s="84"/>
      <c r="H168" s="85"/>
      <c r="I168" s="85"/>
      <c r="J168" s="85"/>
      <c r="K168" s="85"/>
      <c r="L168" s="86"/>
    </row>
    <row r="169" spans="1:12" x14ac:dyDescent="0.2">
      <c r="A169" s="81" t="s">
        <v>2018</v>
      </c>
      <c r="B169" s="81" t="s">
        <v>909</v>
      </c>
      <c r="C169" s="81" t="s">
        <v>2017</v>
      </c>
      <c r="D169" s="81" t="s">
        <v>3224</v>
      </c>
      <c r="E169" s="81" t="s">
        <v>2782</v>
      </c>
      <c r="F169" s="81" t="s">
        <v>2792</v>
      </c>
      <c r="G169" s="84"/>
      <c r="H169" s="85"/>
      <c r="I169" s="85"/>
      <c r="J169" s="85"/>
      <c r="K169" s="85"/>
      <c r="L169" s="86"/>
    </row>
    <row r="170" spans="1:12" x14ac:dyDescent="0.2">
      <c r="A170" s="81" t="s">
        <v>2016</v>
      </c>
      <c r="B170" s="81" t="s">
        <v>1931</v>
      </c>
      <c r="C170" s="81" t="s">
        <v>2015</v>
      </c>
      <c r="D170" s="81" t="s">
        <v>3266</v>
      </c>
      <c r="E170" s="81" t="s">
        <v>2782</v>
      </c>
      <c r="F170" s="81" t="s">
        <v>1489</v>
      </c>
      <c r="G170" s="84"/>
      <c r="H170" s="85"/>
      <c r="I170" s="85"/>
      <c r="J170" s="85"/>
      <c r="K170" s="85"/>
      <c r="L170" s="86"/>
    </row>
    <row r="171" spans="1:12" x14ac:dyDescent="0.2">
      <c r="A171" s="81" t="s">
        <v>2011</v>
      </c>
      <c r="B171" s="81" t="s">
        <v>2012</v>
      </c>
      <c r="C171" s="81" t="s">
        <v>2010</v>
      </c>
      <c r="D171" s="81" t="s">
        <v>3269</v>
      </c>
      <c r="E171" s="81" t="s">
        <v>2791</v>
      </c>
      <c r="F171" s="81" t="s">
        <v>2764</v>
      </c>
      <c r="G171" s="84"/>
      <c r="H171" s="85"/>
      <c r="I171" s="85"/>
      <c r="J171" s="85"/>
      <c r="K171" s="85"/>
      <c r="L171" s="86"/>
    </row>
    <row r="172" spans="1:12" x14ac:dyDescent="0.2">
      <c r="A172" s="81" t="s">
        <v>2044</v>
      </c>
      <c r="B172" s="81" t="s">
        <v>2045</v>
      </c>
      <c r="C172" s="81" t="s">
        <v>2043</v>
      </c>
      <c r="D172" s="81" t="s">
        <v>3270</v>
      </c>
      <c r="E172" s="81" t="s">
        <v>2770</v>
      </c>
      <c r="F172" s="81" t="s">
        <v>2764</v>
      </c>
      <c r="G172" s="84"/>
      <c r="H172" s="85"/>
      <c r="I172" s="85"/>
      <c r="J172" s="85"/>
      <c r="K172" s="85"/>
      <c r="L172" s="86"/>
    </row>
    <row r="173" spans="1:12" x14ac:dyDescent="0.2">
      <c r="A173" s="84" t="s">
        <v>2044</v>
      </c>
      <c r="B173" s="84" t="s">
        <v>2045</v>
      </c>
      <c r="C173" s="81" t="s">
        <v>2719</v>
      </c>
      <c r="D173" s="81" t="s">
        <v>3270</v>
      </c>
      <c r="E173" s="81" t="s">
        <v>2770</v>
      </c>
      <c r="F173" s="81" t="s">
        <v>2764</v>
      </c>
      <c r="G173" s="84"/>
      <c r="H173" s="85"/>
      <c r="I173" s="85"/>
      <c r="J173" s="85"/>
      <c r="K173" s="85"/>
      <c r="L173" s="86"/>
    </row>
    <row r="174" spans="1:12" x14ac:dyDescent="0.2">
      <c r="A174" s="81" t="s">
        <v>2050</v>
      </c>
      <c r="B174" s="81" t="s">
        <v>1833</v>
      </c>
      <c r="C174" s="81" t="s">
        <v>2049</v>
      </c>
      <c r="D174" s="81" t="s">
        <v>3267</v>
      </c>
      <c r="E174" s="81" t="s">
        <v>2770</v>
      </c>
      <c r="F174" s="81" t="s">
        <v>2789</v>
      </c>
      <c r="G174" s="84"/>
      <c r="H174" s="85"/>
      <c r="I174" s="85"/>
      <c r="J174" s="85"/>
      <c r="K174" s="85"/>
      <c r="L174" s="86"/>
    </row>
    <row r="175" spans="1:12" x14ac:dyDescent="0.2">
      <c r="A175" s="81" t="s">
        <v>2048</v>
      </c>
      <c r="B175" s="81" t="s">
        <v>1830</v>
      </c>
      <c r="C175" s="81" t="s">
        <v>2047</v>
      </c>
      <c r="D175" s="81" t="s">
        <v>3268</v>
      </c>
      <c r="E175" s="81" t="s">
        <v>2770</v>
      </c>
      <c r="F175" s="81" t="s">
        <v>2771</v>
      </c>
      <c r="G175" s="84"/>
      <c r="H175" s="85"/>
      <c r="I175" s="85"/>
      <c r="J175" s="85"/>
      <c r="K175" s="85"/>
      <c r="L175" s="86"/>
    </row>
    <row r="176" spans="1:12" x14ac:dyDescent="0.2">
      <c r="A176" s="81" t="s">
        <v>2721</v>
      </c>
      <c r="B176" s="81" t="s">
        <v>1905</v>
      </c>
      <c r="C176" s="81" t="s">
        <v>2720</v>
      </c>
      <c r="D176" s="81" t="s">
        <v>3217</v>
      </c>
      <c r="E176" s="81" t="s">
        <v>2770</v>
      </c>
      <c r="F176" s="81" t="s">
        <v>2789</v>
      </c>
      <c r="G176" s="84"/>
      <c r="H176" s="85"/>
      <c r="I176" s="85"/>
      <c r="J176" s="85"/>
      <c r="K176" s="85"/>
      <c r="L176" s="86"/>
    </row>
    <row r="177" spans="1:12" x14ac:dyDescent="0.2">
      <c r="A177" s="81" t="s">
        <v>2052</v>
      </c>
      <c r="B177" s="81" t="s">
        <v>1900</v>
      </c>
      <c r="C177" s="81" t="s">
        <v>2051</v>
      </c>
      <c r="D177" s="81" t="s">
        <v>3210</v>
      </c>
      <c r="E177" s="81" t="s">
        <v>2782</v>
      </c>
      <c r="F177" s="81" t="s">
        <v>1489</v>
      </c>
      <c r="G177" s="84"/>
      <c r="H177" s="85"/>
      <c r="I177" s="85"/>
      <c r="J177" s="85"/>
      <c r="K177" s="85"/>
      <c r="L177" s="86"/>
    </row>
    <row r="178" spans="1:12" x14ac:dyDescent="0.2">
      <c r="A178" s="81" t="s">
        <v>1829</v>
      </c>
      <c r="B178" s="81" t="s">
        <v>1830</v>
      </c>
      <c r="C178" s="81" t="s">
        <v>1828</v>
      </c>
      <c r="D178" s="81" t="s">
        <v>3268</v>
      </c>
      <c r="E178" s="81" t="s">
        <v>2770</v>
      </c>
      <c r="F178" s="81" t="s">
        <v>2789</v>
      </c>
      <c r="G178" s="84"/>
      <c r="H178" s="85"/>
      <c r="I178" s="85"/>
      <c r="J178" s="85"/>
      <c r="K178" s="85"/>
      <c r="L178" s="86"/>
    </row>
    <row r="179" spans="1:12" x14ac:dyDescent="0.2">
      <c r="A179" s="84" t="s">
        <v>1829</v>
      </c>
      <c r="B179" s="84" t="s">
        <v>1830</v>
      </c>
      <c r="C179" s="81" t="s">
        <v>2712</v>
      </c>
      <c r="D179" s="81" t="s">
        <v>3268</v>
      </c>
      <c r="E179" s="81" t="s">
        <v>2770</v>
      </c>
      <c r="F179" s="81" t="s">
        <v>2789</v>
      </c>
      <c r="G179" s="84"/>
      <c r="H179" s="85"/>
      <c r="I179" s="85"/>
      <c r="J179" s="85"/>
      <c r="K179" s="85"/>
      <c r="L179" s="86"/>
    </row>
    <row r="180" spans="1:12" x14ac:dyDescent="0.2">
      <c r="A180" s="81" t="s">
        <v>1832</v>
      </c>
      <c r="B180" s="81" t="s">
        <v>1833</v>
      </c>
      <c r="C180" s="81" t="s">
        <v>1831</v>
      </c>
      <c r="D180" s="81" t="s">
        <v>3267</v>
      </c>
      <c r="E180" s="81" t="s">
        <v>2770</v>
      </c>
      <c r="F180" s="81" t="s">
        <v>2789</v>
      </c>
      <c r="G180" s="84"/>
      <c r="H180" s="85"/>
      <c r="I180" s="85"/>
      <c r="J180" s="85"/>
      <c r="K180" s="85"/>
      <c r="L180" s="86"/>
    </row>
    <row r="181" spans="1:12" x14ac:dyDescent="0.2">
      <c r="A181" s="81" t="s">
        <v>2714</v>
      </c>
      <c r="B181" s="81" t="s">
        <v>1833</v>
      </c>
      <c r="C181" s="81" t="s">
        <v>2713</v>
      </c>
      <c r="D181" s="81" t="s">
        <v>3267</v>
      </c>
      <c r="E181" s="81" t="s">
        <v>2770</v>
      </c>
      <c r="F181" s="81" t="s">
        <v>2789</v>
      </c>
      <c r="G181" s="84"/>
      <c r="H181" s="85"/>
      <c r="I181" s="85"/>
      <c r="J181" s="85"/>
      <c r="K181" s="85"/>
      <c r="L181" s="86"/>
    </row>
    <row r="182" spans="1:12" x14ac:dyDescent="0.2">
      <c r="A182" s="81" t="s">
        <v>2224</v>
      </c>
      <c r="B182" s="81" t="s">
        <v>2225</v>
      </c>
      <c r="C182" s="81" t="s">
        <v>2223</v>
      </c>
      <c r="D182" s="81" t="s">
        <v>3271</v>
      </c>
      <c r="E182" s="81" t="s">
        <v>2782</v>
      </c>
      <c r="F182" s="81" t="s">
        <v>2810</v>
      </c>
      <c r="G182" s="84"/>
      <c r="H182" s="85"/>
      <c r="I182" s="85"/>
      <c r="J182" s="85"/>
      <c r="K182" s="85"/>
      <c r="L182" s="86"/>
    </row>
    <row r="183" spans="1:12" x14ac:dyDescent="0.2">
      <c r="A183" s="81" t="s">
        <v>2366</v>
      </c>
      <c r="B183" s="81" t="s">
        <v>2367</v>
      </c>
      <c r="C183" s="81" t="s">
        <v>2365</v>
      </c>
      <c r="D183" s="81" t="s">
        <v>3272</v>
      </c>
      <c r="E183" s="81" t="s">
        <v>2791</v>
      </c>
      <c r="F183" s="81" t="s">
        <v>2800</v>
      </c>
      <c r="G183" s="84"/>
      <c r="H183" s="85"/>
      <c r="I183" s="85"/>
      <c r="J183" s="85"/>
      <c r="K183" s="85"/>
      <c r="L183" s="86"/>
    </row>
    <row r="184" spans="1:12" x14ac:dyDescent="0.2">
      <c r="A184" s="81" t="s">
        <v>2746</v>
      </c>
      <c r="B184" s="81" t="s">
        <v>2367</v>
      </c>
      <c r="C184" s="81" t="s">
        <v>2745</v>
      </c>
      <c r="D184" s="81" t="s">
        <v>3272</v>
      </c>
      <c r="E184" s="81" t="s">
        <v>2791</v>
      </c>
      <c r="F184" s="81" t="s">
        <v>2800</v>
      </c>
      <c r="G184" s="84"/>
      <c r="H184" s="85"/>
      <c r="I184" s="85"/>
      <c r="J184" s="85"/>
      <c r="K184" s="85"/>
      <c r="L184" s="86"/>
    </row>
    <row r="185" spans="1:12" x14ac:dyDescent="0.2">
      <c r="A185" s="81" t="s">
        <v>2424</v>
      </c>
      <c r="B185" s="81" t="s">
        <v>2425</v>
      </c>
      <c r="C185" s="81" t="s">
        <v>2423</v>
      </c>
      <c r="D185" s="81" t="s">
        <v>3273</v>
      </c>
      <c r="E185" s="81" t="s">
        <v>2791</v>
      </c>
      <c r="F185" s="81" t="s">
        <v>2800</v>
      </c>
      <c r="G185" s="84"/>
      <c r="H185" s="85"/>
      <c r="I185" s="85"/>
      <c r="J185" s="85"/>
      <c r="K185" s="85"/>
      <c r="L185" s="86"/>
    </row>
    <row r="186" spans="1:12" x14ac:dyDescent="0.2">
      <c r="A186" s="84" t="s">
        <v>2424</v>
      </c>
      <c r="B186" s="84" t="s">
        <v>2425</v>
      </c>
      <c r="C186" s="81" t="s">
        <v>2748</v>
      </c>
      <c r="D186" s="81" t="s">
        <v>3273</v>
      </c>
      <c r="E186" s="81" t="s">
        <v>2791</v>
      </c>
      <c r="F186" s="81"/>
      <c r="G186" s="84"/>
      <c r="H186" s="85"/>
      <c r="I186" s="85"/>
      <c r="J186" s="85"/>
      <c r="K186" s="85"/>
      <c r="L186" s="86"/>
    </row>
    <row r="187" spans="1:12" x14ac:dyDescent="0.2">
      <c r="A187" s="81" t="s">
        <v>1306</v>
      </c>
      <c r="B187" s="81" t="s">
        <v>1307</v>
      </c>
      <c r="C187" s="81" t="s">
        <v>1305</v>
      </c>
      <c r="D187" s="81" t="s">
        <v>3236</v>
      </c>
      <c r="E187" s="81" t="s">
        <v>2762</v>
      </c>
      <c r="F187" s="81" t="s">
        <v>2774</v>
      </c>
      <c r="G187" s="84"/>
      <c r="H187" s="85"/>
      <c r="I187" s="85"/>
      <c r="J187" s="85"/>
      <c r="K187" s="85"/>
      <c r="L187" s="86"/>
    </row>
    <row r="188" spans="1:12" x14ac:dyDescent="0.2">
      <c r="A188" s="81" t="s">
        <v>3159</v>
      </c>
      <c r="B188" s="81" t="s">
        <v>3161</v>
      </c>
      <c r="C188" s="81" t="s">
        <v>3160</v>
      </c>
      <c r="D188" s="81" t="s">
        <v>3274</v>
      </c>
      <c r="E188" s="81" t="s">
        <v>2759</v>
      </c>
      <c r="F188" s="81" t="s">
        <v>2760</v>
      </c>
      <c r="G188" s="84"/>
      <c r="H188" s="85"/>
      <c r="I188" s="85"/>
      <c r="J188" s="85"/>
      <c r="K188" s="85"/>
      <c r="L188" s="86"/>
    </row>
    <row r="189" spans="1:12" x14ac:dyDescent="0.2">
      <c r="A189" s="81" t="s">
        <v>2072</v>
      </c>
      <c r="B189" s="81" t="s">
        <v>2073</v>
      </c>
      <c r="C189" s="81" t="s">
        <v>2071</v>
      </c>
      <c r="D189" s="81" t="s">
        <v>3275</v>
      </c>
      <c r="E189" s="81" t="s">
        <v>2770</v>
      </c>
      <c r="F189" s="81" t="s">
        <v>2811</v>
      </c>
      <c r="G189" s="84"/>
      <c r="H189" s="85"/>
      <c r="I189" s="85"/>
      <c r="J189" s="85"/>
      <c r="K189" s="85"/>
      <c r="L189" s="86"/>
    </row>
    <row r="190" spans="1:12" x14ac:dyDescent="0.2">
      <c r="A190" s="81" t="s">
        <v>1962</v>
      </c>
      <c r="B190" s="81" t="s">
        <v>1963</v>
      </c>
      <c r="C190" s="81" t="s">
        <v>1961</v>
      </c>
      <c r="D190" s="81" t="s">
        <v>3276</v>
      </c>
      <c r="E190" s="81" t="s">
        <v>2770</v>
      </c>
      <c r="F190" s="81" t="s">
        <v>2811</v>
      </c>
      <c r="G190" s="84"/>
      <c r="H190" s="85"/>
      <c r="I190" s="85"/>
      <c r="J190" s="85"/>
      <c r="K190" s="85"/>
      <c r="L190" s="86"/>
    </row>
    <row r="191" spans="1:12" x14ac:dyDescent="0.2">
      <c r="A191" s="81" t="s">
        <v>1182</v>
      </c>
      <c r="B191" s="81" t="s">
        <v>1183</v>
      </c>
      <c r="C191" s="81" t="s">
        <v>1181</v>
      </c>
      <c r="D191" s="81" t="s">
        <v>3277</v>
      </c>
      <c r="E191" s="81" t="s">
        <v>2772</v>
      </c>
      <c r="F191" s="81" t="s">
        <v>2764</v>
      </c>
      <c r="G191" s="84"/>
      <c r="H191" s="85"/>
      <c r="I191" s="85"/>
      <c r="J191" s="85"/>
      <c r="K191" s="85"/>
      <c r="L191" s="86"/>
    </row>
    <row r="192" spans="1:12" x14ac:dyDescent="0.2">
      <c r="A192" s="81" t="s">
        <v>1185</v>
      </c>
      <c r="B192" s="81" t="s">
        <v>1186</v>
      </c>
      <c r="C192" s="81" t="s">
        <v>1184</v>
      </c>
      <c r="D192" s="81" t="s">
        <v>3278</v>
      </c>
      <c r="E192" s="81" t="s">
        <v>2772</v>
      </c>
      <c r="F192" s="81" t="s">
        <v>2764</v>
      </c>
      <c r="G192" s="84"/>
      <c r="H192" s="85"/>
      <c r="I192" s="85"/>
      <c r="J192" s="85"/>
      <c r="K192" s="85"/>
      <c r="L192" s="86"/>
    </row>
    <row r="193" spans="1:12" x14ac:dyDescent="0.2">
      <c r="A193" s="81" t="s">
        <v>1314</v>
      </c>
      <c r="B193" s="81" t="s">
        <v>842</v>
      </c>
      <c r="C193" s="81" t="s">
        <v>1313</v>
      </c>
      <c r="D193" s="81" t="s">
        <v>3190</v>
      </c>
      <c r="E193" s="81" t="s">
        <v>2759</v>
      </c>
      <c r="F193" s="81" t="s">
        <v>2760</v>
      </c>
      <c r="G193" s="84"/>
      <c r="H193" s="85"/>
      <c r="I193" s="85"/>
      <c r="J193" s="85"/>
      <c r="K193" s="85"/>
      <c r="L193" s="86"/>
    </row>
    <row r="194" spans="1:12" x14ac:dyDescent="0.2">
      <c r="A194" s="81" t="s">
        <v>2325</v>
      </c>
      <c r="B194" s="81" t="s">
        <v>2326</v>
      </c>
      <c r="C194" s="81" t="s">
        <v>2324</v>
      </c>
      <c r="D194" s="81" t="s">
        <v>3271</v>
      </c>
      <c r="E194" s="81" t="s">
        <v>2782</v>
      </c>
      <c r="F194" s="81" t="s">
        <v>2810</v>
      </c>
      <c r="G194" s="84"/>
      <c r="H194" s="85"/>
      <c r="I194" s="85"/>
      <c r="J194" s="85"/>
      <c r="K194" s="85"/>
      <c r="L194" s="86"/>
    </row>
    <row r="195" spans="1:12" x14ac:dyDescent="0.2">
      <c r="A195" s="81" t="s">
        <v>3149</v>
      </c>
      <c r="B195" s="81" t="s">
        <v>3151</v>
      </c>
      <c r="C195" s="81" t="s">
        <v>3150</v>
      </c>
      <c r="D195" s="81" t="s">
        <v>3279</v>
      </c>
      <c r="E195" s="81" t="s">
        <v>2791</v>
      </c>
      <c r="F195" s="81" t="s">
        <v>2812</v>
      </c>
      <c r="G195" s="84"/>
      <c r="H195" s="85"/>
      <c r="I195" s="85"/>
      <c r="J195" s="85"/>
      <c r="K195" s="85"/>
      <c r="L195" s="86"/>
    </row>
    <row r="196" spans="1:12" x14ac:dyDescent="0.2">
      <c r="A196" s="81" t="s">
        <v>2361</v>
      </c>
      <c r="B196" s="81" t="s">
        <v>2362</v>
      </c>
      <c r="C196" s="81" t="s">
        <v>2360</v>
      </c>
      <c r="D196" s="81" t="s">
        <v>3280</v>
      </c>
      <c r="E196" s="81" t="s">
        <v>2791</v>
      </c>
      <c r="F196" s="81" t="s">
        <v>2812</v>
      </c>
      <c r="G196" s="84"/>
      <c r="H196" s="85"/>
      <c r="I196" s="85"/>
      <c r="J196" s="85"/>
      <c r="K196" s="85"/>
      <c r="L196" s="86"/>
    </row>
    <row r="197" spans="1:12" x14ac:dyDescent="0.2">
      <c r="A197" s="81" t="s">
        <v>2290</v>
      </c>
      <c r="B197" s="81" t="s">
        <v>2291</v>
      </c>
      <c r="C197" s="81" t="s">
        <v>2289</v>
      </c>
      <c r="D197" s="81" t="s">
        <v>3281</v>
      </c>
      <c r="E197" s="81" t="s">
        <v>2782</v>
      </c>
      <c r="F197" s="81" t="s">
        <v>2783</v>
      </c>
      <c r="G197" s="84"/>
      <c r="H197" s="85"/>
      <c r="I197" s="85"/>
      <c r="J197" s="85"/>
      <c r="K197" s="85"/>
      <c r="L197" s="86"/>
    </row>
    <row r="198" spans="1:12" x14ac:dyDescent="0.2">
      <c r="A198" s="81" t="s">
        <v>859</v>
      </c>
      <c r="B198" s="81" t="s">
        <v>860</v>
      </c>
      <c r="C198" s="81" t="s">
        <v>858</v>
      </c>
      <c r="D198" s="81" t="s">
        <v>3282</v>
      </c>
      <c r="E198" s="81" t="s">
        <v>2804</v>
      </c>
      <c r="F198" s="81" t="s">
        <v>2813</v>
      </c>
      <c r="G198" s="84"/>
      <c r="H198" s="85"/>
      <c r="I198" s="85"/>
      <c r="J198" s="85"/>
      <c r="K198" s="85"/>
      <c r="L198" s="86"/>
    </row>
    <row r="199" spans="1:12" x14ac:dyDescent="0.2">
      <c r="A199" s="84" t="s">
        <v>859</v>
      </c>
      <c r="B199" s="81" t="s">
        <v>2583</v>
      </c>
      <c r="C199" s="81" t="s">
        <v>2582</v>
      </c>
      <c r="D199" s="81" t="s">
        <v>3282</v>
      </c>
      <c r="E199" s="81" t="s">
        <v>2804</v>
      </c>
      <c r="F199" s="81" t="s">
        <v>2813</v>
      </c>
      <c r="G199" s="84"/>
      <c r="H199" s="85"/>
      <c r="I199" s="85"/>
      <c r="J199" s="85"/>
      <c r="K199" s="85"/>
      <c r="L199" s="86"/>
    </row>
    <row r="200" spans="1:12" x14ac:dyDescent="0.2">
      <c r="A200" s="81" t="s">
        <v>2345</v>
      </c>
      <c r="B200" s="81" t="s">
        <v>2814</v>
      </c>
      <c r="C200" s="81" t="s">
        <v>2344</v>
      </c>
      <c r="D200" s="81" t="s">
        <v>3283</v>
      </c>
      <c r="E200" s="81" t="s">
        <v>2782</v>
      </c>
      <c r="F200" s="81" t="s">
        <v>2784</v>
      </c>
      <c r="G200" s="84"/>
      <c r="H200" s="85"/>
      <c r="I200" s="85"/>
      <c r="J200" s="85"/>
      <c r="K200" s="85"/>
      <c r="L200" s="86"/>
    </row>
    <row r="201" spans="1:12" x14ac:dyDescent="0.2">
      <c r="A201" s="81" t="s">
        <v>1400</v>
      </c>
      <c r="B201" s="81" t="s">
        <v>1401</v>
      </c>
      <c r="C201" s="81" t="s">
        <v>1399</v>
      </c>
      <c r="D201" s="81" t="s">
        <v>3284</v>
      </c>
      <c r="E201" s="81" t="s">
        <v>2762</v>
      </c>
      <c r="F201" s="81" t="s">
        <v>2764</v>
      </c>
      <c r="G201" s="84"/>
      <c r="H201" s="85"/>
      <c r="I201" s="85"/>
      <c r="J201" s="85"/>
      <c r="K201" s="85"/>
      <c r="L201" s="86"/>
    </row>
    <row r="202" spans="1:12" x14ac:dyDescent="0.2">
      <c r="A202" s="81" t="s">
        <v>2511</v>
      </c>
      <c r="B202" s="81" t="s">
        <v>961</v>
      </c>
      <c r="C202" s="81" t="s">
        <v>2510</v>
      </c>
      <c r="D202" s="81" t="s">
        <v>3187</v>
      </c>
      <c r="E202" s="81" t="s">
        <v>2759</v>
      </c>
      <c r="F202" s="81" t="s">
        <v>2760</v>
      </c>
      <c r="G202" s="84"/>
      <c r="H202" s="85"/>
      <c r="I202" s="85"/>
      <c r="J202" s="85"/>
      <c r="K202" s="85"/>
      <c r="L202" s="86"/>
    </row>
    <row r="203" spans="1:12" x14ac:dyDescent="0.2">
      <c r="A203" s="81" t="s">
        <v>2519</v>
      </c>
      <c r="B203" s="81" t="s">
        <v>986</v>
      </c>
      <c r="C203" s="81" t="s">
        <v>2518</v>
      </c>
      <c r="D203" s="81" t="s">
        <v>3187</v>
      </c>
      <c r="E203" s="81" t="s">
        <v>2759</v>
      </c>
      <c r="F203" s="81" t="s">
        <v>2760</v>
      </c>
      <c r="G203" s="84"/>
      <c r="H203" s="85"/>
      <c r="I203" s="85"/>
      <c r="J203" s="85"/>
      <c r="K203" s="85"/>
      <c r="L203" s="86"/>
    </row>
    <row r="204" spans="1:12" x14ac:dyDescent="0.2">
      <c r="A204" s="81" t="s">
        <v>2515</v>
      </c>
      <c r="B204" s="81" t="s">
        <v>973</v>
      </c>
      <c r="C204" s="81" t="s">
        <v>2514</v>
      </c>
      <c r="D204" s="81" t="s">
        <v>3285</v>
      </c>
      <c r="E204" s="81" t="s">
        <v>2767</v>
      </c>
      <c r="F204" s="81" t="s">
        <v>2816</v>
      </c>
      <c r="G204" s="84"/>
      <c r="H204" s="85"/>
      <c r="I204" s="85"/>
      <c r="J204" s="85"/>
      <c r="K204" s="85"/>
      <c r="L204" s="86"/>
    </row>
    <row r="205" spans="1:12" x14ac:dyDescent="0.2">
      <c r="A205" s="81" t="s">
        <v>2513</v>
      </c>
      <c r="B205" s="81" t="s">
        <v>969</v>
      </c>
      <c r="C205" s="81" t="s">
        <v>2512</v>
      </c>
      <c r="D205" s="81" t="s">
        <v>3228</v>
      </c>
      <c r="E205" s="81" t="s">
        <v>2759</v>
      </c>
      <c r="F205" s="81" t="s">
        <v>2760</v>
      </c>
      <c r="G205" s="84"/>
      <c r="H205" s="85"/>
      <c r="I205" s="85"/>
      <c r="J205" s="85"/>
      <c r="K205" s="85"/>
      <c r="L205" s="86"/>
    </row>
    <row r="206" spans="1:12" x14ac:dyDescent="0.2">
      <c r="A206" s="81" t="s">
        <v>2521</v>
      </c>
      <c r="B206" s="81" t="s">
        <v>989</v>
      </c>
      <c r="C206" s="81" t="s">
        <v>2520</v>
      </c>
      <c r="D206" s="81" t="s">
        <v>3216</v>
      </c>
      <c r="E206" s="81" t="s">
        <v>2759</v>
      </c>
      <c r="F206" s="81" t="s">
        <v>2790</v>
      </c>
      <c r="G206" s="84"/>
      <c r="H206" s="85"/>
      <c r="I206" s="85"/>
      <c r="J206" s="85"/>
      <c r="K206" s="85"/>
      <c r="L206" s="86"/>
    </row>
    <row r="207" spans="1:12" x14ac:dyDescent="0.2">
      <c r="A207" s="81" t="s">
        <v>2517</v>
      </c>
      <c r="B207" s="81" t="s">
        <v>983</v>
      </c>
      <c r="C207" s="81" t="s">
        <v>2516</v>
      </c>
      <c r="D207" s="81" t="s">
        <v>3220</v>
      </c>
      <c r="E207" s="81" t="s">
        <v>2759</v>
      </c>
      <c r="F207" s="81" t="s">
        <v>2761</v>
      </c>
      <c r="G207" s="84"/>
      <c r="H207" s="85"/>
      <c r="I207" s="85"/>
      <c r="J207" s="85"/>
      <c r="K207" s="85"/>
      <c r="L207" s="86"/>
    </row>
    <row r="208" spans="1:12" x14ac:dyDescent="0.2">
      <c r="A208" s="81" t="s">
        <v>2509</v>
      </c>
      <c r="B208" s="81" t="s">
        <v>961</v>
      </c>
      <c r="C208" s="81" t="s">
        <v>2508</v>
      </c>
      <c r="D208" s="81" t="s">
        <v>3187</v>
      </c>
      <c r="E208" s="81" t="s">
        <v>2759</v>
      </c>
      <c r="F208" s="81" t="s">
        <v>2760</v>
      </c>
      <c r="G208" s="84"/>
      <c r="H208" s="85"/>
      <c r="I208" s="85"/>
      <c r="J208" s="85"/>
      <c r="K208" s="85"/>
      <c r="L208" s="86"/>
    </row>
    <row r="209" spans="1:12" x14ac:dyDescent="0.2">
      <c r="A209" s="81" t="s">
        <v>948</v>
      </c>
      <c r="B209" s="81" t="s">
        <v>949</v>
      </c>
      <c r="C209" s="81" t="s">
        <v>947</v>
      </c>
      <c r="D209" s="81" t="s">
        <v>3286</v>
      </c>
      <c r="E209" s="81" t="s">
        <v>2772</v>
      </c>
      <c r="F209" s="81" t="s">
        <v>2803</v>
      </c>
      <c r="G209" s="84"/>
      <c r="H209" s="85"/>
      <c r="I209" s="85"/>
      <c r="J209" s="85"/>
      <c r="K209" s="85"/>
      <c r="L209" s="86"/>
    </row>
    <row r="210" spans="1:12" x14ac:dyDescent="0.2">
      <c r="A210" s="81" t="s">
        <v>960</v>
      </c>
      <c r="B210" s="81" t="s">
        <v>961</v>
      </c>
      <c r="C210" s="81" t="s">
        <v>959</v>
      </c>
      <c r="D210" s="81" t="s">
        <v>3187</v>
      </c>
      <c r="E210" s="81" t="s">
        <v>2759</v>
      </c>
      <c r="F210" s="81" t="s">
        <v>2760</v>
      </c>
      <c r="G210" s="84"/>
      <c r="H210" s="85"/>
      <c r="I210" s="85"/>
      <c r="J210" s="85"/>
      <c r="K210" s="85"/>
      <c r="L210" s="86"/>
    </row>
    <row r="211" spans="1:12" x14ac:dyDescent="0.2">
      <c r="A211" s="81" t="s">
        <v>957</v>
      </c>
      <c r="B211" s="81" t="s">
        <v>958</v>
      </c>
      <c r="C211" s="81" t="s">
        <v>956</v>
      </c>
      <c r="D211" s="81" t="s">
        <v>3187</v>
      </c>
      <c r="E211" s="81" t="s">
        <v>2759</v>
      </c>
      <c r="F211" s="81" t="s">
        <v>2760</v>
      </c>
      <c r="G211" s="84"/>
      <c r="H211" s="85"/>
      <c r="I211" s="85"/>
      <c r="J211" s="85"/>
      <c r="K211" s="85"/>
      <c r="L211" s="86"/>
    </row>
    <row r="212" spans="1:12" x14ac:dyDescent="0.2">
      <c r="A212" s="81" t="s">
        <v>968</v>
      </c>
      <c r="B212" s="81" t="s">
        <v>969</v>
      </c>
      <c r="C212" s="81" t="s">
        <v>967</v>
      </c>
      <c r="D212" s="81" t="s">
        <v>3228</v>
      </c>
      <c r="E212" s="81" t="s">
        <v>2759</v>
      </c>
      <c r="F212" s="81" t="s">
        <v>2760</v>
      </c>
      <c r="G212" s="84"/>
      <c r="H212" s="85"/>
      <c r="I212" s="85"/>
      <c r="J212" s="85"/>
      <c r="K212" s="85"/>
      <c r="L212" s="86"/>
    </row>
    <row r="213" spans="1:12" x14ac:dyDescent="0.2">
      <c r="A213" s="81" t="s">
        <v>963</v>
      </c>
      <c r="B213" s="81" t="s">
        <v>964</v>
      </c>
      <c r="C213" s="81" t="s">
        <v>962</v>
      </c>
      <c r="D213" s="81" t="s">
        <v>3220</v>
      </c>
      <c r="E213" s="81" t="s">
        <v>2759</v>
      </c>
      <c r="F213" s="81" t="s">
        <v>2761</v>
      </c>
      <c r="G213" s="84"/>
      <c r="H213" s="85"/>
      <c r="I213" s="85"/>
      <c r="J213" s="85"/>
      <c r="K213" s="85"/>
      <c r="L213" s="86"/>
    </row>
    <row r="214" spans="1:12" x14ac:dyDescent="0.2">
      <c r="A214" s="81" t="s">
        <v>985</v>
      </c>
      <c r="B214" s="81" t="s">
        <v>986</v>
      </c>
      <c r="C214" s="81" t="s">
        <v>984</v>
      </c>
      <c r="D214" s="81" t="s">
        <v>3187</v>
      </c>
      <c r="E214" s="81" t="s">
        <v>2759</v>
      </c>
      <c r="F214" s="81" t="s">
        <v>2760</v>
      </c>
      <c r="G214" s="84"/>
      <c r="H214" s="85"/>
      <c r="I214" s="85"/>
      <c r="J214" s="85"/>
      <c r="K214" s="85"/>
      <c r="L214" s="86"/>
    </row>
    <row r="215" spans="1:12" x14ac:dyDescent="0.2">
      <c r="A215" s="81" t="s">
        <v>972</v>
      </c>
      <c r="B215" s="81" t="s">
        <v>973</v>
      </c>
      <c r="C215" s="81" t="s">
        <v>971</v>
      </c>
      <c r="D215" s="81" t="s">
        <v>3285</v>
      </c>
      <c r="E215" s="81" t="s">
        <v>2767</v>
      </c>
      <c r="F215" s="81" t="s">
        <v>2816</v>
      </c>
      <c r="G215" s="84"/>
      <c r="H215" s="85"/>
      <c r="I215" s="85"/>
      <c r="J215" s="85"/>
      <c r="K215" s="85"/>
      <c r="L215" s="86"/>
    </row>
    <row r="216" spans="1:12" x14ac:dyDescent="0.2">
      <c r="A216" s="81" t="s">
        <v>988</v>
      </c>
      <c r="B216" s="81" t="s">
        <v>989</v>
      </c>
      <c r="C216" s="81" t="s">
        <v>987</v>
      </c>
      <c r="D216" s="81" t="s">
        <v>3216</v>
      </c>
      <c r="E216" s="81" t="s">
        <v>2759</v>
      </c>
      <c r="F216" s="81" t="s">
        <v>2790</v>
      </c>
      <c r="G216" s="84"/>
      <c r="H216" s="85"/>
      <c r="I216" s="85"/>
      <c r="J216" s="85"/>
      <c r="K216" s="85"/>
      <c r="L216" s="86"/>
    </row>
    <row r="217" spans="1:12" x14ac:dyDescent="0.2">
      <c r="A217" s="81" t="s">
        <v>982</v>
      </c>
      <c r="B217" s="81" t="s">
        <v>983</v>
      </c>
      <c r="C217" s="81" t="s">
        <v>981</v>
      </c>
      <c r="D217" s="81" t="s">
        <v>3220</v>
      </c>
      <c r="E217" s="81" t="s">
        <v>2759</v>
      </c>
      <c r="F217" s="81" t="s">
        <v>2761</v>
      </c>
      <c r="G217" s="84"/>
      <c r="H217" s="85"/>
      <c r="I217" s="85"/>
      <c r="J217" s="85"/>
      <c r="K217" s="85"/>
      <c r="L217" s="86"/>
    </row>
    <row r="218" spans="1:12" x14ac:dyDescent="0.2">
      <c r="A218" s="81" t="s">
        <v>953</v>
      </c>
      <c r="B218" s="81" t="s">
        <v>954</v>
      </c>
      <c r="C218" s="81" t="s">
        <v>952</v>
      </c>
      <c r="D218" s="81" t="s">
        <v>3187</v>
      </c>
      <c r="E218" s="81" t="s">
        <v>2759</v>
      </c>
      <c r="F218" s="81" t="s">
        <v>2760</v>
      </c>
      <c r="G218" s="84"/>
      <c r="H218" s="85"/>
      <c r="I218" s="85"/>
      <c r="J218" s="85"/>
      <c r="K218" s="85"/>
      <c r="L218" s="86"/>
    </row>
    <row r="219" spans="1:12" x14ac:dyDescent="0.2">
      <c r="A219" s="81" t="s">
        <v>710</v>
      </c>
      <c r="B219" s="81" t="s">
        <v>711</v>
      </c>
      <c r="C219" s="81" t="s">
        <v>709</v>
      </c>
      <c r="D219" s="81" t="s">
        <v>3287</v>
      </c>
      <c r="E219" s="81" t="s">
        <v>2804</v>
      </c>
      <c r="F219" s="81" t="s">
        <v>2817</v>
      </c>
      <c r="G219" s="84"/>
      <c r="H219" s="85"/>
      <c r="I219" s="85"/>
      <c r="J219" s="85"/>
      <c r="K219" s="85"/>
      <c r="L219" s="86"/>
    </row>
    <row r="220" spans="1:12" x14ac:dyDescent="0.2">
      <c r="A220" s="81" t="s">
        <v>2483</v>
      </c>
      <c r="B220" s="81" t="s">
        <v>954</v>
      </c>
      <c r="C220" s="81" t="s">
        <v>2482</v>
      </c>
      <c r="D220" s="81" t="s">
        <v>3187</v>
      </c>
      <c r="E220" s="81" t="s">
        <v>2759</v>
      </c>
      <c r="F220" s="81" t="s">
        <v>2760</v>
      </c>
      <c r="G220" s="84"/>
      <c r="H220" s="85"/>
      <c r="I220" s="85"/>
      <c r="J220" s="85"/>
      <c r="K220" s="85"/>
      <c r="L220" s="86"/>
    </row>
    <row r="221" spans="1:12" x14ac:dyDescent="0.2">
      <c r="A221" s="81" t="s">
        <v>2494</v>
      </c>
      <c r="B221" s="81" t="s">
        <v>986</v>
      </c>
      <c r="C221" s="81" t="s">
        <v>2493</v>
      </c>
      <c r="D221" s="81" t="s">
        <v>3187</v>
      </c>
      <c r="E221" s="81" t="s">
        <v>2759</v>
      </c>
      <c r="F221" s="81" t="s">
        <v>2760</v>
      </c>
      <c r="G221" s="84"/>
      <c r="H221" s="85"/>
      <c r="I221" s="85"/>
      <c r="J221" s="85"/>
      <c r="K221" s="85"/>
      <c r="L221" s="86"/>
    </row>
    <row r="222" spans="1:12" x14ac:dyDescent="0.2">
      <c r="A222" s="81" t="s">
        <v>2492</v>
      </c>
      <c r="B222" s="81" t="s">
        <v>973</v>
      </c>
      <c r="C222" s="81" t="s">
        <v>2491</v>
      </c>
      <c r="D222" s="81" t="s">
        <v>3285</v>
      </c>
      <c r="E222" s="81" t="s">
        <v>2767</v>
      </c>
      <c r="F222" s="81" t="s">
        <v>2816</v>
      </c>
      <c r="G222" s="84"/>
      <c r="H222" s="85"/>
      <c r="I222" s="85"/>
      <c r="J222" s="85"/>
      <c r="K222" s="85"/>
      <c r="L222" s="86"/>
    </row>
    <row r="223" spans="1:12" x14ac:dyDescent="0.2">
      <c r="A223" s="81" t="s">
        <v>2490</v>
      </c>
      <c r="B223" s="81" t="s">
        <v>969</v>
      </c>
      <c r="C223" s="81" t="s">
        <v>2489</v>
      </c>
      <c r="D223" s="81" t="s">
        <v>3228</v>
      </c>
      <c r="E223" s="81" t="s">
        <v>2759</v>
      </c>
      <c r="F223" s="81" t="s">
        <v>2760</v>
      </c>
      <c r="G223" s="84"/>
      <c r="H223" s="85"/>
      <c r="I223" s="85"/>
      <c r="J223" s="85"/>
      <c r="K223" s="85"/>
      <c r="L223" s="86"/>
    </row>
    <row r="224" spans="1:12" x14ac:dyDescent="0.2">
      <c r="A224" s="81" t="s">
        <v>2485</v>
      </c>
      <c r="B224" s="81" t="s">
        <v>964</v>
      </c>
      <c r="C224" s="81" t="s">
        <v>2484</v>
      </c>
      <c r="D224" s="81" t="s">
        <v>3220</v>
      </c>
      <c r="E224" s="81" t="s">
        <v>2759</v>
      </c>
      <c r="F224" s="81" t="s">
        <v>2761</v>
      </c>
      <c r="G224" s="84"/>
      <c r="H224" s="85"/>
      <c r="I224" s="85"/>
      <c r="J224" s="85"/>
      <c r="K224" s="85"/>
      <c r="L224" s="86"/>
    </row>
    <row r="225" spans="1:12" x14ac:dyDescent="0.2">
      <c r="A225" s="81" t="s">
        <v>1316</v>
      </c>
      <c r="B225" s="81" t="s">
        <v>1317</v>
      </c>
      <c r="C225" s="81" t="s">
        <v>1315</v>
      </c>
      <c r="D225" s="81" t="s">
        <v>3199</v>
      </c>
      <c r="E225" s="81" t="s">
        <v>2762</v>
      </c>
      <c r="F225" s="81" t="s">
        <v>2774</v>
      </c>
      <c r="G225" s="84"/>
      <c r="H225" s="85"/>
      <c r="I225" s="85"/>
      <c r="J225" s="85"/>
      <c r="K225" s="85"/>
      <c r="L225" s="86"/>
    </row>
    <row r="226" spans="1:12" x14ac:dyDescent="0.2">
      <c r="A226" s="81" t="s">
        <v>1321</v>
      </c>
      <c r="B226" s="81" t="s">
        <v>1322</v>
      </c>
      <c r="C226" s="81" t="s">
        <v>1320</v>
      </c>
      <c r="D226" s="81" t="s">
        <v>3235</v>
      </c>
      <c r="E226" s="81" t="s">
        <v>2762</v>
      </c>
      <c r="F226" s="81" t="s">
        <v>2769</v>
      </c>
      <c r="G226" s="84"/>
      <c r="H226" s="85"/>
      <c r="I226" s="85"/>
      <c r="J226" s="85"/>
      <c r="K226" s="85"/>
      <c r="L226" s="86"/>
    </row>
    <row r="227" spans="1:12" x14ac:dyDescent="0.2">
      <c r="A227" s="81" t="s">
        <v>1326</v>
      </c>
      <c r="B227" s="81" t="s">
        <v>954</v>
      </c>
      <c r="C227" s="81" t="s">
        <v>1325</v>
      </c>
      <c r="D227" s="81" t="s">
        <v>3187</v>
      </c>
      <c r="E227" s="81" t="s">
        <v>2759</v>
      </c>
      <c r="F227" s="81" t="s">
        <v>2760</v>
      </c>
      <c r="G227" s="84"/>
      <c r="H227" s="85"/>
      <c r="I227" s="85"/>
      <c r="J227" s="85"/>
      <c r="K227" s="85"/>
      <c r="L227" s="86"/>
    </row>
    <row r="228" spans="1:12" x14ac:dyDescent="0.2">
      <c r="A228" s="81" t="s">
        <v>2115</v>
      </c>
      <c r="B228" s="81" t="s">
        <v>2116</v>
      </c>
      <c r="C228" s="81" t="s">
        <v>2114</v>
      </c>
      <c r="D228" s="81" t="s">
        <v>3288</v>
      </c>
      <c r="E228" s="81" t="s">
        <v>2780</v>
      </c>
      <c r="F228" s="81" t="s">
        <v>2818</v>
      </c>
      <c r="G228" s="84"/>
      <c r="H228" s="85"/>
      <c r="I228" s="85"/>
      <c r="J228" s="85"/>
      <c r="K228" s="85"/>
      <c r="L228" s="86"/>
    </row>
    <row r="229" spans="1:12" x14ac:dyDescent="0.2">
      <c r="A229" s="81" t="s">
        <v>2120</v>
      </c>
      <c r="B229" s="81" t="s">
        <v>2121</v>
      </c>
      <c r="C229" s="81" t="s">
        <v>2119</v>
      </c>
      <c r="D229" s="81" t="s">
        <v>3289</v>
      </c>
      <c r="E229" s="81" t="s">
        <v>2782</v>
      </c>
      <c r="F229" s="81" t="s">
        <v>2819</v>
      </c>
      <c r="G229" s="84"/>
      <c r="H229" s="85"/>
      <c r="I229" s="85"/>
      <c r="J229" s="85"/>
      <c r="K229" s="85"/>
      <c r="L229" s="86"/>
    </row>
    <row r="230" spans="1:12" x14ac:dyDescent="0.2">
      <c r="A230" s="81" t="s">
        <v>2125</v>
      </c>
      <c r="B230" s="81" t="s">
        <v>2126</v>
      </c>
      <c r="C230" s="81" t="s">
        <v>2124</v>
      </c>
      <c r="D230" s="81" t="s">
        <v>3290</v>
      </c>
      <c r="E230" s="81" t="s">
        <v>2780</v>
      </c>
      <c r="F230" s="81" t="s">
        <v>2797</v>
      </c>
      <c r="G230" s="84"/>
      <c r="H230" s="85"/>
      <c r="I230" s="85"/>
      <c r="J230" s="85"/>
      <c r="K230" s="85"/>
      <c r="L230" s="86"/>
    </row>
    <row r="231" spans="1:12" x14ac:dyDescent="0.2">
      <c r="A231" s="81" t="s">
        <v>3139</v>
      </c>
      <c r="B231" s="81" t="s">
        <v>3141</v>
      </c>
      <c r="C231" s="81" t="s">
        <v>3140</v>
      </c>
      <c r="D231" s="81" t="s">
        <v>3291</v>
      </c>
      <c r="E231" s="81" t="s">
        <v>2791</v>
      </c>
      <c r="F231" s="81" t="s">
        <v>2765</v>
      </c>
      <c r="G231" s="84"/>
      <c r="H231" s="85"/>
      <c r="I231" s="85"/>
      <c r="J231" s="85"/>
      <c r="K231" s="85"/>
      <c r="L231" s="86"/>
    </row>
    <row r="232" spans="1:12" x14ac:dyDescent="0.2">
      <c r="A232" s="81" t="s">
        <v>3163</v>
      </c>
      <c r="B232" s="81" t="s">
        <v>3165</v>
      </c>
      <c r="C232" s="81" t="s">
        <v>3164</v>
      </c>
      <c r="D232" s="81" t="s">
        <v>3292</v>
      </c>
      <c r="E232" s="81" t="s">
        <v>2759</v>
      </c>
      <c r="F232" s="81" t="s">
        <v>2761</v>
      </c>
      <c r="G232" s="84"/>
      <c r="H232" s="85"/>
      <c r="I232" s="85"/>
      <c r="J232" s="85"/>
      <c r="K232" s="85"/>
      <c r="L232" s="86"/>
    </row>
    <row r="233" spans="1:12" x14ac:dyDescent="0.2">
      <c r="A233" s="81" t="s">
        <v>1121</v>
      </c>
      <c r="B233" s="81" t="s">
        <v>1122</v>
      </c>
      <c r="C233" s="81" t="s">
        <v>1120</v>
      </c>
      <c r="D233" s="81" t="s">
        <v>3277</v>
      </c>
      <c r="E233" s="81" t="s">
        <v>2772</v>
      </c>
      <c r="F233" s="81" t="s">
        <v>2764</v>
      </c>
      <c r="G233" s="84"/>
      <c r="H233" s="85"/>
      <c r="I233" s="85"/>
      <c r="J233" s="85"/>
      <c r="K233" s="85"/>
      <c r="L233" s="86"/>
    </row>
    <row r="234" spans="1:12" x14ac:dyDescent="0.2">
      <c r="A234" s="81" t="s">
        <v>3075</v>
      </c>
      <c r="B234" s="81" t="s">
        <v>3077</v>
      </c>
      <c r="C234" s="81" t="s">
        <v>3076</v>
      </c>
      <c r="D234" s="81" t="s">
        <v>3293</v>
      </c>
      <c r="E234" s="81" t="s">
        <v>2762</v>
      </c>
      <c r="F234" s="81" t="s">
        <v>2764</v>
      </c>
      <c r="G234" s="84"/>
      <c r="H234" s="85"/>
      <c r="I234" s="85"/>
      <c r="J234" s="85"/>
      <c r="K234" s="85"/>
      <c r="L234" s="86"/>
    </row>
    <row r="235" spans="1:12" x14ac:dyDescent="0.2">
      <c r="A235" s="81" t="s">
        <v>1041</v>
      </c>
      <c r="B235" s="81" t="s">
        <v>1042</v>
      </c>
      <c r="C235" s="81" t="s">
        <v>1040</v>
      </c>
      <c r="D235" s="81" t="s">
        <v>3294</v>
      </c>
      <c r="E235" s="81" t="s">
        <v>2772</v>
      </c>
      <c r="F235" s="81" t="s">
        <v>2821</v>
      </c>
      <c r="G235" s="84"/>
      <c r="H235" s="85"/>
      <c r="I235" s="85"/>
      <c r="J235" s="85"/>
      <c r="K235" s="85"/>
      <c r="L235" s="86"/>
    </row>
    <row r="236" spans="1:12" x14ac:dyDescent="0.2">
      <c r="A236" s="81" t="s">
        <v>2020</v>
      </c>
      <c r="B236" s="81" t="s">
        <v>2021</v>
      </c>
      <c r="C236" s="81" t="s">
        <v>2019</v>
      </c>
      <c r="D236" s="81" t="s">
        <v>3295</v>
      </c>
      <c r="E236" s="81" t="s">
        <v>2770</v>
      </c>
      <c r="F236" s="81" t="s">
        <v>2789</v>
      </c>
      <c r="G236" s="84"/>
      <c r="H236" s="85"/>
      <c r="I236" s="85"/>
      <c r="J236" s="85"/>
      <c r="K236" s="85"/>
      <c r="L236" s="86"/>
    </row>
    <row r="237" spans="1:12" x14ac:dyDescent="0.2">
      <c r="A237" s="81" t="s">
        <v>2023</v>
      </c>
      <c r="B237" s="81" t="s">
        <v>2024</v>
      </c>
      <c r="C237" s="81" t="s">
        <v>2022</v>
      </c>
      <c r="D237" s="81" t="s">
        <v>3196</v>
      </c>
      <c r="E237" s="81" t="s">
        <v>2770</v>
      </c>
      <c r="F237" s="81" t="s">
        <v>2771</v>
      </c>
      <c r="G237" s="84"/>
      <c r="H237" s="85"/>
      <c r="I237" s="85"/>
      <c r="J237" s="85"/>
      <c r="K237" s="85"/>
      <c r="L237" s="86"/>
    </row>
    <row r="238" spans="1:12" x14ac:dyDescent="0.2">
      <c r="A238" s="81" t="s">
        <v>2162</v>
      </c>
      <c r="B238" s="81" t="s">
        <v>2163</v>
      </c>
      <c r="C238" s="81" t="s">
        <v>2161</v>
      </c>
      <c r="D238" s="81" t="s">
        <v>3296</v>
      </c>
      <c r="E238" s="81" t="s">
        <v>2780</v>
      </c>
      <c r="F238" s="81" t="s">
        <v>1920</v>
      </c>
      <c r="G238" s="84"/>
      <c r="H238" s="85"/>
      <c r="I238" s="85"/>
      <c r="J238" s="85"/>
      <c r="K238" s="85"/>
      <c r="L238" s="86"/>
    </row>
    <row r="239" spans="1:12" x14ac:dyDescent="0.2">
      <c r="A239" s="84" t="s">
        <v>2162</v>
      </c>
      <c r="B239" s="84" t="s">
        <v>2163</v>
      </c>
      <c r="C239" s="81" t="s">
        <v>2724</v>
      </c>
      <c r="D239" s="81" t="s">
        <v>3296</v>
      </c>
      <c r="E239" s="81" t="s">
        <v>2780</v>
      </c>
      <c r="F239" s="81" t="s">
        <v>1920</v>
      </c>
      <c r="G239" s="84"/>
      <c r="H239" s="85"/>
      <c r="I239" s="85"/>
      <c r="J239" s="85"/>
      <c r="K239" s="85"/>
      <c r="L239" s="86"/>
    </row>
    <row r="240" spans="1:12" x14ac:dyDescent="0.2">
      <c r="A240" s="81" t="s">
        <v>2138</v>
      </c>
      <c r="B240" s="81" t="s">
        <v>2139</v>
      </c>
      <c r="C240" s="81" t="s">
        <v>2137</v>
      </c>
      <c r="D240" s="81" t="s">
        <v>3297</v>
      </c>
      <c r="E240" s="81" t="s">
        <v>2780</v>
      </c>
      <c r="F240" s="81" t="s">
        <v>2822</v>
      </c>
      <c r="G240" s="84"/>
      <c r="H240" s="85"/>
      <c r="I240" s="85"/>
      <c r="J240" s="85"/>
      <c r="K240" s="85"/>
      <c r="L240" s="86"/>
    </row>
    <row r="241" spans="1:12" x14ac:dyDescent="0.2">
      <c r="A241" s="81" t="s">
        <v>2143</v>
      </c>
      <c r="B241" s="81" t="s">
        <v>2024</v>
      </c>
      <c r="C241" s="81" t="s">
        <v>2142</v>
      </c>
      <c r="D241" s="81" t="s">
        <v>3196</v>
      </c>
      <c r="E241" s="81" t="s">
        <v>2770</v>
      </c>
      <c r="F241" s="81" t="s">
        <v>2771</v>
      </c>
      <c r="G241" s="84"/>
      <c r="H241" s="85"/>
      <c r="I241" s="85"/>
      <c r="J241" s="85"/>
      <c r="K241" s="85"/>
      <c r="L241" s="86"/>
    </row>
    <row r="242" spans="1:12" x14ac:dyDescent="0.2">
      <c r="A242" s="81" t="s">
        <v>2622</v>
      </c>
      <c r="B242" s="81" t="s">
        <v>2623</v>
      </c>
      <c r="C242" s="81" t="s">
        <v>2621</v>
      </c>
      <c r="D242" s="81" t="s">
        <v>3298</v>
      </c>
      <c r="E242" s="81" t="s">
        <v>2767</v>
      </c>
      <c r="F242" s="81" t="s">
        <v>2798</v>
      </c>
      <c r="G242" s="84"/>
      <c r="H242" s="85"/>
      <c r="I242" s="85"/>
      <c r="J242" s="85"/>
      <c r="K242" s="85"/>
      <c r="L242" s="86"/>
    </row>
    <row r="243" spans="1:12" x14ac:dyDescent="0.2">
      <c r="A243" s="84" t="s">
        <v>2622</v>
      </c>
      <c r="B243" s="84" t="s">
        <v>2623</v>
      </c>
      <c r="C243" s="81" t="s">
        <v>2637</v>
      </c>
      <c r="D243" s="81" t="s">
        <v>3298</v>
      </c>
      <c r="E243" s="81" t="s">
        <v>2767</v>
      </c>
      <c r="F243" s="81" t="s">
        <v>2798</v>
      </c>
      <c r="G243" s="84"/>
      <c r="H243" s="85"/>
      <c r="I243" s="85"/>
      <c r="J243" s="85"/>
      <c r="K243" s="85"/>
      <c r="L243" s="86"/>
    </row>
    <row r="244" spans="1:12" x14ac:dyDescent="0.2">
      <c r="A244" s="84" t="s">
        <v>2622</v>
      </c>
      <c r="B244" s="84" t="s">
        <v>2623</v>
      </c>
      <c r="C244" s="81" t="s">
        <v>2650</v>
      </c>
      <c r="D244" s="81" t="s">
        <v>3298</v>
      </c>
      <c r="E244" s="81" t="s">
        <v>2767</v>
      </c>
      <c r="F244" s="81" t="s">
        <v>2798</v>
      </c>
      <c r="G244" s="84"/>
      <c r="H244" s="85"/>
      <c r="I244" s="85"/>
      <c r="J244" s="85"/>
      <c r="K244" s="85"/>
      <c r="L244" s="86"/>
    </row>
    <row r="245" spans="1:12" x14ac:dyDescent="0.2">
      <c r="A245" s="84" t="s">
        <v>2622</v>
      </c>
      <c r="B245" s="84" t="s">
        <v>2623</v>
      </c>
      <c r="C245" s="81" t="s">
        <v>2657</v>
      </c>
      <c r="D245" s="81" t="s">
        <v>3298</v>
      </c>
      <c r="E245" s="81" t="s">
        <v>2767</v>
      </c>
      <c r="F245" s="81" t="s">
        <v>2798</v>
      </c>
      <c r="G245" s="84"/>
      <c r="H245" s="85"/>
      <c r="I245" s="85"/>
      <c r="J245" s="85"/>
      <c r="K245" s="85"/>
      <c r="L245" s="86"/>
    </row>
    <row r="246" spans="1:12" x14ac:dyDescent="0.2">
      <c r="A246" s="81" t="s">
        <v>3169</v>
      </c>
      <c r="B246" s="81" t="s">
        <v>3165</v>
      </c>
      <c r="C246" s="81" t="s">
        <v>3172</v>
      </c>
      <c r="D246" s="81" t="s">
        <v>3292</v>
      </c>
      <c r="E246" s="81" t="s">
        <v>2759</v>
      </c>
      <c r="F246" s="81" t="s">
        <v>2761</v>
      </c>
      <c r="G246" s="84"/>
      <c r="H246" s="85"/>
      <c r="I246" s="85"/>
      <c r="J246" s="85"/>
      <c r="K246" s="85"/>
      <c r="L246" s="86"/>
    </row>
    <row r="247" spans="1:12" x14ac:dyDescent="0.2">
      <c r="A247" s="84" t="s">
        <v>3169</v>
      </c>
      <c r="B247" s="81" t="s">
        <v>3171</v>
      </c>
      <c r="C247" s="81" t="s">
        <v>3170</v>
      </c>
      <c r="D247" s="81" t="s">
        <v>3292</v>
      </c>
      <c r="E247" s="81" t="s">
        <v>2759</v>
      </c>
      <c r="F247" s="81" t="s">
        <v>2761</v>
      </c>
      <c r="G247" s="84"/>
      <c r="H247" s="85"/>
      <c r="I247" s="85"/>
      <c r="J247" s="85"/>
      <c r="K247" s="85"/>
      <c r="L247" s="86"/>
    </row>
    <row r="248" spans="1:12" x14ac:dyDescent="0.2">
      <c r="A248" s="81" t="s">
        <v>3173</v>
      </c>
      <c r="B248" s="81" t="s">
        <v>3165</v>
      </c>
      <c r="C248" s="81" t="s">
        <v>3174</v>
      </c>
      <c r="D248" s="81" t="s">
        <v>3292</v>
      </c>
      <c r="E248" s="81" t="s">
        <v>2759</v>
      </c>
      <c r="F248" s="81" t="s">
        <v>2761</v>
      </c>
      <c r="G248" s="84"/>
      <c r="H248" s="85"/>
      <c r="I248" s="85"/>
      <c r="J248" s="85"/>
      <c r="K248" s="85"/>
      <c r="L248" s="86"/>
    </row>
    <row r="249" spans="1:12" x14ac:dyDescent="0.2">
      <c r="A249" s="81" t="s">
        <v>2640</v>
      </c>
      <c r="B249" s="81" t="s">
        <v>774</v>
      </c>
      <c r="C249" s="81" t="s">
        <v>2639</v>
      </c>
      <c r="D249" s="81" t="s">
        <v>3299</v>
      </c>
      <c r="E249" s="81" t="s">
        <v>2762</v>
      </c>
      <c r="F249" s="81" t="s">
        <v>2763</v>
      </c>
      <c r="G249" s="84"/>
      <c r="H249" s="85"/>
      <c r="I249" s="85"/>
      <c r="J249" s="85"/>
      <c r="K249" s="85"/>
      <c r="L249" s="86"/>
    </row>
    <row r="250" spans="1:12" x14ac:dyDescent="0.2">
      <c r="A250" s="84" t="s">
        <v>2640</v>
      </c>
      <c r="B250" s="84" t="s">
        <v>774</v>
      </c>
      <c r="C250" s="81" t="s">
        <v>2651</v>
      </c>
      <c r="D250" s="81" t="s">
        <v>3299</v>
      </c>
      <c r="E250" s="81" t="s">
        <v>2762</v>
      </c>
      <c r="F250" s="81" t="s">
        <v>2766</v>
      </c>
      <c r="G250" s="84"/>
      <c r="H250" s="85"/>
      <c r="I250" s="85"/>
      <c r="J250" s="85"/>
      <c r="K250" s="85"/>
      <c r="L250" s="86"/>
    </row>
    <row r="251" spans="1:12" x14ac:dyDescent="0.2">
      <c r="A251" s="81" t="s">
        <v>2655</v>
      </c>
      <c r="B251" s="81" t="s">
        <v>2656</v>
      </c>
      <c r="C251" s="81" t="s">
        <v>2654</v>
      </c>
      <c r="D251" s="81" t="s">
        <v>3300</v>
      </c>
      <c r="E251" s="81" t="s">
        <v>2791</v>
      </c>
      <c r="F251" s="81" t="s">
        <v>2809</v>
      </c>
      <c r="G251" s="84"/>
      <c r="H251" s="85"/>
      <c r="I251" s="85"/>
      <c r="J251" s="85"/>
      <c r="K251" s="85"/>
      <c r="L251" s="86"/>
    </row>
    <row r="252" spans="1:12" x14ac:dyDescent="0.2">
      <c r="A252" s="81" t="s">
        <v>2633</v>
      </c>
      <c r="B252" s="81" t="s">
        <v>2634</v>
      </c>
      <c r="C252" s="81" t="s">
        <v>2632</v>
      </c>
      <c r="D252" s="81" t="s">
        <v>3191</v>
      </c>
      <c r="E252" s="81" t="s">
        <v>2762</v>
      </c>
      <c r="F252" s="81" t="s">
        <v>2766</v>
      </c>
      <c r="G252" s="84"/>
      <c r="H252" s="85"/>
      <c r="I252" s="85"/>
      <c r="J252" s="85"/>
      <c r="K252" s="85"/>
      <c r="L252" s="86"/>
    </row>
    <row r="253" spans="1:12" x14ac:dyDescent="0.2">
      <c r="A253" s="84" t="s">
        <v>2633</v>
      </c>
      <c r="B253" s="84" t="s">
        <v>2634</v>
      </c>
      <c r="C253" s="81" t="s">
        <v>2644</v>
      </c>
      <c r="D253" s="81" t="s">
        <v>3191</v>
      </c>
      <c r="E253" s="81" t="s">
        <v>2762</v>
      </c>
      <c r="F253" s="81" t="s">
        <v>2766</v>
      </c>
      <c r="G253" s="84"/>
      <c r="H253" s="85"/>
      <c r="I253" s="85"/>
      <c r="J253" s="85"/>
      <c r="K253" s="85"/>
      <c r="L253" s="86"/>
    </row>
    <row r="254" spans="1:12" x14ac:dyDescent="0.2">
      <c r="A254" s="84" t="s">
        <v>2633</v>
      </c>
      <c r="B254" s="84" t="s">
        <v>2634</v>
      </c>
      <c r="C254" s="81" t="s">
        <v>2653</v>
      </c>
      <c r="D254" s="81" t="s">
        <v>3191</v>
      </c>
      <c r="E254" s="81" t="s">
        <v>2762</v>
      </c>
      <c r="F254" s="81" t="s">
        <v>2766</v>
      </c>
      <c r="G254" s="84"/>
      <c r="H254" s="85"/>
      <c r="I254" s="85"/>
      <c r="J254" s="85"/>
      <c r="K254" s="85"/>
      <c r="L254" s="86"/>
    </row>
    <row r="255" spans="1:12" x14ac:dyDescent="0.2">
      <c r="A255" s="84" t="s">
        <v>2633</v>
      </c>
      <c r="B255" s="84" t="s">
        <v>2634</v>
      </c>
      <c r="C255" s="81" t="s">
        <v>2660</v>
      </c>
      <c r="D255" s="81" t="s">
        <v>3191</v>
      </c>
      <c r="E255" s="81" t="s">
        <v>2762</v>
      </c>
      <c r="F255" s="81" t="s">
        <v>2766</v>
      </c>
      <c r="G255" s="84"/>
      <c r="H255" s="85"/>
      <c r="I255" s="85"/>
      <c r="J255" s="85"/>
      <c r="K255" s="85"/>
      <c r="L255" s="86"/>
    </row>
    <row r="256" spans="1:12" x14ac:dyDescent="0.2">
      <c r="A256" s="81" t="s">
        <v>2627</v>
      </c>
      <c r="B256" s="81" t="s">
        <v>1337</v>
      </c>
      <c r="C256" s="81" t="s">
        <v>2626</v>
      </c>
      <c r="D256" s="81" t="s">
        <v>3301</v>
      </c>
      <c r="E256" s="81" t="s">
        <v>2767</v>
      </c>
      <c r="F256" s="81" t="s">
        <v>2768</v>
      </c>
      <c r="G256" s="84"/>
      <c r="H256" s="85"/>
      <c r="I256" s="85"/>
      <c r="J256" s="85"/>
      <c r="K256" s="85"/>
      <c r="L256" s="86"/>
    </row>
    <row r="257" spans="1:12" x14ac:dyDescent="0.2">
      <c r="A257" s="84" t="s">
        <v>2627</v>
      </c>
      <c r="B257" s="84" t="s">
        <v>1337</v>
      </c>
      <c r="C257" s="81" t="s">
        <v>2638</v>
      </c>
      <c r="D257" s="81" t="s">
        <v>3301</v>
      </c>
      <c r="E257" s="81" t="s">
        <v>2767</v>
      </c>
      <c r="F257" s="81" t="s">
        <v>2768</v>
      </c>
      <c r="G257" s="84"/>
      <c r="H257" s="85"/>
      <c r="I257" s="85"/>
      <c r="J257" s="85"/>
      <c r="K257" s="85"/>
      <c r="L257" s="86"/>
    </row>
    <row r="258" spans="1:12" x14ac:dyDescent="0.2">
      <c r="A258" s="84" t="s">
        <v>2627</v>
      </c>
      <c r="B258" s="84" t="s">
        <v>1337</v>
      </c>
      <c r="C258" s="81" t="s">
        <v>2658</v>
      </c>
      <c r="D258" s="81" t="s">
        <v>3301</v>
      </c>
      <c r="E258" s="81" t="s">
        <v>2767</v>
      </c>
      <c r="F258" s="81" t="s">
        <v>2768</v>
      </c>
      <c r="G258" s="84"/>
      <c r="H258" s="85"/>
      <c r="I258" s="85"/>
      <c r="J258" s="85"/>
      <c r="K258" s="85"/>
      <c r="L258" s="86"/>
    </row>
    <row r="259" spans="1:12" x14ac:dyDescent="0.2">
      <c r="A259" s="81" t="s">
        <v>2636</v>
      </c>
      <c r="B259" s="81" t="s">
        <v>1277</v>
      </c>
      <c r="C259" s="81" t="s">
        <v>2647</v>
      </c>
      <c r="D259" s="81" t="s">
        <v>3188</v>
      </c>
      <c r="E259" s="81" t="s">
        <v>2767</v>
      </c>
      <c r="F259" s="81" t="s">
        <v>2768</v>
      </c>
      <c r="G259" s="84"/>
      <c r="H259" s="85"/>
      <c r="I259" s="85"/>
      <c r="J259" s="85"/>
      <c r="K259" s="85"/>
      <c r="L259" s="86"/>
    </row>
    <row r="260" spans="1:12" x14ac:dyDescent="0.2">
      <c r="A260" s="84" t="s">
        <v>2636</v>
      </c>
      <c r="B260" s="81" t="s">
        <v>834</v>
      </c>
      <c r="C260" s="81" t="s">
        <v>2635</v>
      </c>
      <c r="D260" s="81" t="s">
        <v>3188</v>
      </c>
      <c r="E260" s="81" t="s">
        <v>2767</v>
      </c>
      <c r="F260" s="81" t="s">
        <v>2768</v>
      </c>
      <c r="G260" s="84"/>
      <c r="H260" s="85"/>
      <c r="I260" s="85"/>
      <c r="J260" s="85"/>
      <c r="K260" s="85"/>
      <c r="L260" s="86"/>
    </row>
    <row r="261" spans="1:12" x14ac:dyDescent="0.2">
      <c r="A261" s="84" t="s">
        <v>2636</v>
      </c>
      <c r="B261" s="84" t="s">
        <v>834</v>
      </c>
      <c r="C261" s="81" t="s">
        <v>2661</v>
      </c>
      <c r="D261" s="81" t="s">
        <v>3188</v>
      </c>
      <c r="E261" s="81" t="s">
        <v>2767</v>
      </c>
      <c r="F261" s="81" t="s">
        <v>2768</v>
      </c>
      <c r="G261" s="84"/>
      <c r="H261" s="85"/>
      <c r="I261" s="85"/>
      <c r="J261" s="85"/>
      <c r="K261" s="85"/>
      <c r="L261" s="86"/>
    </row>
    <row r="262" spans="1:12" x14ac:dyDescent="0.2">
      <c r="A262" s="81" t="s">
        <v>2631</v>
      </c>
      <c r="B262" s="81" t="s">
        <v>969</v>
      </c>
      <c r="C262" s="81" t="s">
        <v>2630</v>
      </c>
      <c r="D262" s="81" t="s">
        <v>3228</v>
      </c>
      <c r="E262" s="81" t="s">
        <v>2759</v>
      </c>
      <c r="F262" s="81" t="s">
        <v>2760</v>
      </c>
      <c r="G262" s="84"/>
      <c r="H262" s="85"/>
      <c r="I262" s="85"/>
      <c r="J262" s="85"/>
      <c r="K262" s="85"/>
      <c r="L262" s="86"/>
    </row>
    <row r="263" spans="1:12" x14ac:dyDescent="0.2">
      <c r="A263" s="81" t="s">
        <v>2629</v>
      </c>
      <c r="B263" s="81" t="s">
        <v>2615</v>
      </c>
      <c r="C263" s="81" t="s">
        <v>2628</v>
      </c>
      <c r="D263" s="81" t="s">
        <v>3302</v>
      </c>
      <c r="E263" s="81" t="s">
        <v>2762</v>
      </c>
      <c r="F263" s="81" t="s">
        <v>2763</v>
      </c>
      <c r="G263" s="84"/>
      <c r="H263" s="85"/>
      <c r="I263" s="85"/>
      <c r="J263" s="85"/>
      <c r="K263" s="85"/>
      <c r="L263" s="86"/>
    </row>
    <row r="264" spans="1:12" x14ac:dyDescent="0.2">
      <c r="A264" s="84" t="s">
        <v>2629</v>
      </c>
      <c r="B264" s="84" t="s">
        <v>2615</v>
      </c>
      <c r="C264" s="81" t="s">
        <v>2641</v>
      </c>
      <c r="D264" s="81" t="s">
        <v>3302</v>
      </c>
      <c r="E264" s="81" t="s">
        <v>2762</v>
      </c>
      <c r="F264" s="81" t="s">
        <v>2763</v>
      </c>
      <c r="G264" s="84"/>
      <c r="H264" s="85"/>
      <c r="I264" s="85"/>
      <c r="J264" s="85"/>
      <c r="K264" s="85"/>
      <c r="L264" s="86"/>
    </row>
    <row r="265" spans="1:12" x14ac:dyDescent="0.2">
      <c r="A265" s="84" t="s">
        <v>2629</v>
      </c>
      <c r="B265" s="84" t="s">
        <v>2615</v>
      </c>
      <c r="C265" s="81" t="s">
        <v>2652</v>
      </c>
      <c r="D265" s="81" t="s">
        <v>3302</v>
      </c>
      <c r="E265" s="81" t="s">
        <v>2762</v>
      </c>
      <c r="F265" s="81" t="s">
        <v>2763</v>
      </c>
      <c r="G265" s="84"/>
      <c r="H265" s="85"/>
      <c r="I265" s="85"/>
      <c r="J265" s="85"/>
      <c r="K265" s="85"/>
      <c r="L265" s="86"/>
    </row>
    <row r="266" spans="1:12" x14ac:dyDescent="0.2">
      <c r="A266" s="84" t="s">
        <v>2629</v>
      </c>
      <c r="B266" s="84" t="s">
        <v>2615</v>
      </c>
      <c r="C266" s="81" t="s">
        <v>2659</v>
      </c>
      <c r="D266" s="81" t="s">
        <v>3302</v>
      </c>
      <c r="E266" s="81" t="s">
        <v>2762</v>
      </c>
      <c r="F266" s="81" t="s">
        <v>2763</v>
      </c>
      <c r="G266" s="84"/>
      <c r="H266" s="85"/>
      <c r="I266" s="85"/>
      <c r="J266" s="85"/>
      <c r="K266" s="85"/>
      <c r="L266" s="86"/>
    </row>
    <row r="267" spans="1:12" x14ac:dyDescent="0.2">
      <c r="A267" s="81" t="s">
        <v>2646</v>
      </c>
      <c r="B267" s="81" t="s">
        <v>826</v>
      </c>
      <c r="C267" s="81" t="s">
        <v>2645</v>
      </c>
      <c r="D267" s="81" t="s">
        <v>3186</v>
      </c>
      <c r="E267" s="81" t="s">
        <v>2762</v>
      </c>
      <c r="F267" s="81" t="s">
        <v>2763</v>
      </c>
      <c r="G267" s="84"/>
      <c r="H267" s="85"/>
      <c r="I267" s="85"/>
      <c r="J267" s="85"/>
      <c r="K267" s="85"/>
      <c r="L267" s="86"/>
    </row>
    <row r="268" spans="1:12" x14ac:dyDescent="0.2">
      <c r="A268" s="81" t="s">
        <v>2643</v>
      </c>
      <c r="B268" s="81" t="s">
        <v>821</v>
      </c>
      <c r="C268" s="81" t="s">
        <v>2642</v>
      </c>
      <c r="D268" s="81" t="s">
        <v>3236</v>
      </c>
      <c r="E268" s="81" t="s">
        <v>2767</v>
      </c>
      <c r="F268" s="81" t="s">
        <v>2798</v>
      </c>
      <c r="G268" s="84"/>
      <c r="H268" s="85"/>
      <c r="I268" s="85"/>
      <c r="J268" s="85"/>
      <c r="K268" s="85"/>
      <c r="L268" s="86"/>
    </row>
    <row r="269" spans="1:12" x14ac:dyDescent="0.2">
      <c r="A269" s="81" t="s">
        <v>2649</v>
      </c>
      <c r="B269" s="81" t="s">
        <v>842</v>
      </c>
      <c r="C269" s="81" t="s">
        <v>2648</v>
      </c>
      <c r="D269" s="81" t="s">
        <v>3190</v>
      </c>
      <c r="E269" s="81" t="s">
        <v>2759</v>
      </c>
      <c r="F269" s="81" t="s">
        <v>2760</v>
      </c>
      <c r="G269" s="84"/>
      <c r="H269" s="85"/>
      <c r="I269" s="85"/>
      <c r="J269" s="85"/>
      <c r="K269" s="85"/>
      <c r="L269" s="86"/>
    </row>
    <row r="270" spans="1:12" x14ac:dyDescent="0.2">
      <c r="A270" s="81" t="s">
        <v>2107</v>
      </c>
      <c r="B270" s="81" t="s">
        <v>2108</v>
      </c>
      <c r="C270" s="81" t="s">
        <v>2106</v>
      </c>
      <c r="D270" s="81" t="s">
        <v>3303</v>
      </c>
      <c r="E270" s="81" t="s">
        <v>2780</v>
      </c>
      <c r="F270" s="81" t="s">
        <v>2818</v>
      </c>
      <c r="G270" s="84"/>
      <c r="H270" s="85"/>
      <c r="I270" s="85"/>
      <c r="J270" s="85"/>
      <c r="K270" s="85"/>
      <c r="L270" s="86"/>
    </row>
    <row r="271" spans="1:12" x14ac:dyDescent="0.2">
      <c r="A271" s="81" t="s">
        <v>3144</v>
      </c>
      <c r="B271" s="81" t="s">
        <v>3146</v>
      </c>
      <c r="C271" s="81" t="s">
        <v>3145</v>
      </c>
      <c r="D271" s="81" t="s">
        <v>3304</v>
      </c>
      <c r="E271" s="81" t="s">
        <v>2791</v>
      </c>
      <c r="F271" s="81" t="s">
        <v>2765</v>
      </c>
      <c r="G271" s="84"/>
      <c r="H271" s="85"/>
      <c r="I271" s="85"/>
      <c r="J271" s="85"/>
      <c r="K271" s="85"/>
      <c r="L271" s="86"/>
    </row>
    <row r="272" spans="1:12" x14ac:dyDescent="0.2">
      <c r="A272" s="81" t="s">
        <v>1031</v>
      </c>
      <c r="B272" s="81" t="s">
        <v>1032</v>
      </c>
      <c r="C272" s="81" t="s">
        <v>1030</v>
      </c>
      <c r="D272" s="81" t="s">
        <v>3254</v>
      </c>
      <c r="E272" s="81" t="s">
        <v>2772</v>
      </c>
      <c r="F272" s="81" t="s">
        <v>2788</v>
      </c>
      <c r="G272" s="84"/>
      <c r="H272" s="85"/>
      <c r="I272" s="85"/>
      <c r="J272" s="85"/>
      <c r="K272" s="85"/>
      <c r="L272" s="86"/>
    </row>
    <row r="273" spans="1:12" x14ac:dyDescent="0.2">
      <c r="A273" s="81" t="s">
        <v>2028</v>
      </c>
      <c r="B273" s="81" t="s">
        <v>2029</v>
      </c>
      <c r="C273" s="81" t="s">
        <v>2027</v>
      </c>
      <c r="D273" s="81" t="s">
        <v>3305</v>
      </c>
      <c r="E273" s="81" t="s">
        <v>2770</v>
      </c>
      <c r="F273" s="81" t="s">
        <v>2811</v>
      </c>
      <c r="G273" s="84"/>
      <c r="H273" s="85"/>
      <c r="I273" s="85"/>
      <c r="J273" s="85"/>
      <c r="K273" s="85"/>
      <c r="L273" s="86"/>
    </row>
    <row r="274" spans="1:12" x14ac:dyDescent="0.2">
      <c r="A274" s="81" t="s">
        <v>2606</v>
      </c>
      <c r="B274" s="81" t="s">
        <v>2607</v>
      </c>
      <c r="C274" s="81" t="s">
        <v>2605</v>
      </c>
      <c r="D274" s="81" t="s">
        <v>3246</v>
      </c>
      <c r="E274" s="81" t="s">
        <v>2767</v>
      </c>
      <c r="F274" s="81" t="s">
        <v>2798</v>
      </c>
      <c r="G274" s="84"/>
      <c r="H274" s="85"/>
      <c r="I274" s="85"/>
      <c r="J274" s="85"/>
      <c r="K274" s="85"/>
      <c r="L274" s="86"/>
    </row>
    <row r="275" spans="1:12" x14ac:dyDescent="0.2">
      <c r="A275" s="84" t="s">
        <v>2606</v>
      </c>
      <c r="B275" s="84" t="s">
        <v>2607</v>
      </c>
      <c r="C275" s="81" t="s">
        <v>3168</v>
      </c>
      <c r="D275" s="81" t="s">
        <v>3246</v>
      </c>
      <c r="E275" s="81" t="s">
        <v>2767</v>
      </c>
      <c r="F275" s="81" t="s">
        <v>2798</v>
      </c>
      <c r="G275" s="84"/>
      <c r="H275" s="85"/>
      <c r="I275" s="85"/>
      <c r="J275" s="85"/>
      <c r="K275" s="85"/>
      <c r="L275" s="86"/>
    </row>
    <row r="276" spans="1:12" x14ac:dyDescent="0.2">
      <c r="A276" s="81" t="s">
        <v>2609</v>
      </c>
      <c r="B276" s="81" t="s">
        <v>997</v>
      </c>
      <c r="C276" s="81" t="s">
        <v>2608</v>
      </c>
      <c r="D276" s="81" t="s">
        <v>3247</v>
      </c>
      <c r="E276" s="81" t="s">
        <v>2762</v>
      </c>
      <c r="F276" s="81" t="s">
        <v>2763</v>
      </c>
      <c r="G276" s="84"/>
      <c r="H276" s="85"/>
      <c r="I276" s="85"/>
      <c r="J276" s="85"/>
      <c r="K276" s="85"/>
      <c r="L276" s="86"/>
    </row>
    <row r="277" spans="1:12" x14ac:dyDescent="0.2">
      <c r="A277" s="81" t="s">
        <v>2620</v>
      </c>
      <c r="B277" s="81" t="s">
        <v>1277</v>
      </c>
      <c r="C277" s="81" t="s">
        <v>2619</v>
      </c>
      <c r="D277" s="81" t="s">
        <v>3188</v>
      </c>
      <c r="E277" s="81" t="s">
        <v>2767</v>
      </c>
      <c r="F277" s="81" t="s">
        <v>2768</v>
      </c>
      <c r="G277" s="84"/>
      <c r="H277" s="85"/>
      <c r="I277" s="85"/>
      <c r="J277" s="85"/>
      <c r="K277" s="85"/>
      <c r="L277" s="86"/>
    </row>
    <row r="278" spans="1:12" x14ac:dyDescent="0.2">
      <c r="A278" s="81" t="s">
        <v>2614</v>
      </c>
      <c r="B278" s="81" t="s">
        <v>2615</v>
      </c>
      <c r="C278" s="81" t="s">
        <v>2613</v>
      </c>
      <c r="D278" s="81" t="s">
        <v>3302</v>
      </c>
      <c r="E278" s="81" t="s">
        <v>2762</v>
      </c>
      <c r="F278" s="81" t="s">
        <v>2763</v>
      </c>
      <c r="G278" s="84"/>
      <c r="H278" s="85"/>
      <c r="I278" s="85"/>
      <c r="J278" s="85"/>
      <c r="K278" s="85"/>
      <c r="L278" s="86"/>
    </row>
    <row r="279" spans="1:12" x14ac:dyDescent="0.2">
      <c r="A279" s="81" t="s">
        <v>2612</v>
      </c>
      <c r="B279" s="81" t="s">
        <v>816</v>
      </c>
      <c r="C279" s="81" t="s">
        <v>2611</v>
      </c>
      <c r="D279" s="81" t="s">
        <v>3189</v>
      </c>
      <c r="E279" s="81" t="s">
        <v>2762</v>
      </c>
      <c r="F279" s="81" t="s">
        <v>2766</v>
      </c>
      <c r="G279" s="84"/>
      <c r="H279" s="85"/>
      <c r="I279" s="85"/>
      <c r="J279" s="85"/>
      <c r="K279" s="85"/>
      <c r="L279" s="86"/>
    </row>
    <row r="280" spans="1:12" x14ac:dyDescent="0.2">
      <c r="A280" s="81" t="s">
        <v>2618</v>
      </c>
      <c r="B280" s="81" t="s">
        <v>826</v>
      </c>
      <c r="C280" s="81" t="s">
        <v>2617</v>
      </c>
      <c r="D280" s="81" t="s">
        <v>3186</v>
      </c>
      <c r="E280" s="81" t="s">
        <v>2762</v>
      </c>
      <c r="F280" s="81" t="s">
        <v>2763</v>
      </c>
      <c r="G280" s="84"/>
      <c r="H280" s="85"/>
      <c r="I280" s="85"/>
      <c r="J280" s="85"/>
      <c r="K280" s="85"/>
      <c r="L280" s="86"/>
    </row>
    <row r="281" spans="1:12" x14ac:dyDescent="0.2">
      <c r="A281" s="81" t="s">
        <v>1026</v>
      </c>
      <c r="B281" s="81" t="s">
        <v>1027</v>
      </c>
      <c r="C281" s="81" t="s">
        <v>1025</v>
      </c>
      <c r="D281" s="81" t="s">
        <v>3307</v>
      </c>
      <c r="E281" s="81" t="s">
        <v>2772</v>
      </c>
      <c r="F281" s="81" t="s">
        <v>2788</v>
      </c>
      <c r="G281" s="84"/>
      <c r="H281" s="85"/>
      <c r="I281" s="85"/>
      <c r="J281" s="85"/>
      <c r="K281" s="85"/>
      <c r="L281" s="86"/>
    </row>
    <row r="282" spans="1:12" x14ac:dyDescent="0.2">
      <c r="A282" s="84" t="s">
        <v>1026</v>
      </c>
      <c r="B282" s="84" t="s">
        <v>1027</v>
      </c>
      <c r="C282" s="81" t="s">
        <v>2586</v>
      </c>
      <c r="D282" s="81" t="s">
        <v>3307</v>
      </c>
      <c r="E282" s="81" t="s">
        <v>2772</v>
      </c>
      <c r="F282" s="81" t="s">
        <v>2788</v>
      </c>
      <c r="G282" s="84"/>
      <c r="H282" s="85"/>
      <c r="I282" s="85"/>
      <c r="J282" s="85"/>
      <c r="K282" s="85"/>
      <c r="L282" s="86"/>
    </row>
    <row r="283" spans="1:12" x14ac:dyDescent="0.2">
      <c r="A283" s="81" t="s">
        <v>2148</v>
      </c>
      <c r="B283" s="81" t="s">
        <v>2149</v>
      </c>
      <c r="C283" s="81" t="s">
        <v>2147</v>
      </c>
      <c r="D283" s="81" t="s">
        <v>3308</v>
      </c>
      <c r="E283" s="81" t="s">
        <v>2780</v>
      </c>
      <c r="F283" s="81" t="s">
        <v>2823</v>
      </c>
      <c r="G283" s="84"/>
      <c r="H283" s="85"/>
      <c r="I283" s="85"/>
      <c r="J283" s="85"/>
      <c r="K283" s="85"/>
      <c r="L283" s="86"/>
    </row>
    <row r="284" spans="1:12" x14ac:dyDescent="0.2">
      <c r="A284" s="81" t="s">
        <v>2153</v>
      </c>
      <c r="B284" s="81" t="s">
        <v>2024</v>
      </c>
      <c r="C284" s="81" t="s">
        <v>2152</v>
      </c>
      <c r="D284" s="81" t="s">
        <v>3196</v>
      </c>
      <c r="E284" s="81" t="s">
        <v>2770</v>
      </c>
      <c r="F284" s="81" t="s">
        <v>2771</v>
      </c>
      <c r="G284" s="84"/>
      <c r="H284" s="85"/>
      <c r="I284" s="85"/>
      <c r="J284" s="85"/>
      <c r="K284" s="85"/>
      <c r="L284" s="86"/>
    </row>
    <row r="285" spans="1:12" x14ac:dyDescent="0.2">
      <c r="A285" s="81" t="s">
        <v>862</v>
      </c>
      <c r="B285" s="81" t="s">
        <v>863</v>
      </c>
      <c r="C285" s="81" t="s">
        <v>861</v>
      </c>
      <c r="D285" s="81" t="s">
        <v>3309</v>
      </c>
      <c r="E285" s="81" t="s">
        <v>2804</v>
      </c>
      <c r="F285" s="81" t="s">
        <v>2764</v>
      </c>
      <c r="G285" s="84"/>
      <c r="H285" s="85"/>
      <c r="I285" s="85"/>
      <c r="J285" s="85"/>
      <c r="K285" s="85"/>
      <c r="L285" s="86"/>
    </row>
    <row r="286" spans="1:12" x14ac:dyDescent="0.2">
      <c r="A286" s="81" t="s">
        <v>2203</v>
      </c>
      <c r="B286" s="81" t="s">
        <v>2204</v>
      </c>
      <c r="C286" s="81" t="s">
        <v>2202</v>
      </c>
      <c r="D286" s="81" t="s">
        <v>3310</v>
      </c>
      <c r="E286" s="81" t="s">
        <v>2782</v>
      </c>
      <c r="F286" s="81" t="s">
        <v>2764</v>
      </c>
      <c r="G286" s="84"/>
      <c r="H286" s="85"/>
      <c r="I286" s="85"/>
      <c r="J286" s="85"/>
      <c r="K286" s="85"/>
      <c r="L286" s="86"/>
    </row>
    <row r="287" spans="1:12" x14ac:dyDescent="0.2">
      <c r="A287" s="81" t="s">
        <v>1957</v>
      </c>
      <c r="B287" s="81" t="s">
        <v>1958</v>
      </c>
      <c r="C287" s="81" t="s">
        <v>1956</v>
      </c>
      <c r="D287" s="81" t="s">
        <v>3311</v>
      </c>
      <c r="E287" s="81" t="s">
        <v>2770</v>
      </c>
      <c r="F287" s="81" t="s">
        <v>2824</v>
      </c>
      <c r="G287" s="84"/>
      <c r="H287" s="85"/>
      <c r="I287" s="85"/>
      <c r="J287" s="85"/>
      <c r="K287" s="85"/>
      <c r="L287" s="86"/>
    </row>
    <row r="288" spans="1:12" x14ac:dyDescent="0.2">
      <c r="A288" s="81" t="s">
        <v>2208</v>
      </c>
      <c r="B288" s="81" t="s">
        <v>2209</v>
      </c>
      <c r="C288" s="81" t="s">
        <v>2207</v>
      </c>
      <c r="D288" s="81" t="s">
        <v>3312</v>
      </c>
      <c r="E288" s="81" t="s">
        <v>2782</v>
      </c>
      <c r="F288" s="81" t="s">
        <v>2825</v>
      </c>
      <c r="G288" s="84"/>
      <c r="H288" s="85"/>
      <c r="I288" s="85"/>
      <c r="J288" s="85"/>
      <c r="K288" s="85"/>
      <c r="L288" s="86"/>
    </row>
    <row r="289" spans="1:12" x14ac:dyDescent="0.2">
      <c r="A289" s="81" t="s">
        <v>2217</v>
      </c>
      <c r="B289" s="81" t="s">
        <v>1913</v>
      </c>
      <c r="C289" s="81" t="s">
        <v>2216</v>
      </c>
      <c r="D289" s="81" t="s">
        <v>3208</v>
      </c>
      <c r="E289" s="81" t="s">
        <v>2782</v>
      </c>
      <c r="F289" s="81" t="s">
        <v>2764</v>
      </c>
      <c r="G289" s="84"/>
      <c r="H289" s="85"/>
      <c r="I289" s="85"/>
      <c r="J289" s="85"/>
      <c r="K289" s="85"/>
      <c r="L289" s="86"/>
    </row>
    <row r="290" spans="1:12" x14ac:dyDescent="0.2">
      <c r="A290" s="81" t="s">
        <v>2213</v>
      </c>
      <c r="B290" s="81" t="s">
        <v>1900</v>
      </c>
      <c r="C290" s="81" t="s">
        <v>2212</v>
      </c>
      <c r="D290" s="81" t="s">
        <v>3210</v>
      </c>
      <c r="E290" s="81" t="s">
        <v>2782</v>
      </c>
      <c r="F290" s="81" t="s">
        <v>2764</v>
      </c>
      <c r="G290" s="84"/>
      <c r="H290" s="85"/>
      <c r="I290" s="85"/>
      <c r="J290" s="85"/>
      <c r="K290" s="85"/>
      <c r="L290" s="86"/>
    </row>
    <row r="291" spans="1:12" x14ac:dyDescent="0.2">
      <c r="A291" s="81" t="s">
        <v>2215</v>
      </c>
      <c r="B291" s="81" t="s">
        <v>1908</v>
      </c>
      <c r="C291" s="81" t="s">
        <v>2214</v>
      </c>
      <c r="D291" s="81" t="s">
        <v>3209</v>
      </c>
      <c r="E291" s="81" t="s">
        <v>2782</v>
      </c>
      <c r="F291" s="81" t="s">
        <v>2764</v>
      </c>
      <c r="G291" s="84"/>
      <c r="H291" s="85"/>
      <c r="I291" s="85"/>
      <c r="J291" s="85"/>
      <c r="K291" s="85"/>
      <c r="L291" s="86"/>
    </row>
    <row r="292" spans="1:12" x14ac:dyDescent="0.2">
      <c r="A292" s="81" t="s">
        <v>2337</v>
      </c>
      <c r="B292" s="81" t="s">
        <v>1913</v>
      </c>
      <c r="C292" s="81" t="s">
        <v>2336</v>
      </c>
      <c r="D292" s="81" t="s">
        <v>3208</v>
      </c>
      <c r="E292" s="81" t="s">
        <v>2782</v>
      </c>
      <c r="F292" s="81" t="s">
        <v>2764</v>
      </c>
      <c r="G292" s="84"/>
      <c r="H292" s="85"/>
      <c r="I292" s="85"/>
      <c r="J292" s="85"/>
      <c r="K292" s="85"/>
      <c r="L292" s="86"/>
    </row>
    <row r="293" spans="1:12" x14ac:dyDescent="0.2">
      <c r="A293" s="81" t="s">
        <v>2335</v>
      </c>
      <c r="B293" s="81" t="s">
        <v>1908</v>
      </c>
      <c r="C293" s="81" t="s">
        <v>2334</v>
      </c>
      <c r="D293" s="81" t="s">
        <v>3209</v>
      </c>
      <c r="E293" s="81" t="s">
        <v>2782</v>
      </c>
      <c r="F293" s="81" t="s">
        <v>2764</v>
      </c>
      <c r="G293" s="84"/>
      <c r="H293" s="85"/>
      <c r="I293" s="85"/>
      <c r="J293" s="85"/>
      <c r="K293" s="85"/>
      <c r="L293" s="86"/>
    </row>
    <row r="294" spans="1:12" x14ac:dyDescent="0.2">
      <c r="A294" s="81" t="s">
        <v>2328</v>
      </c>
      <c r="B294" s="81" t="s">
        <v>3126</v>
      </c>
      <c r="C294" s="81" t="s">
        <v>2327</v>
      </c>
      <c r="D294" s="81" t="s">
        <v>3313</v>
      </c>
      <c r="E294" s="81" t="s">
        <v>2782</v>
      </c>
      <c r="F294" s="81" t="s">
        <v>2764</v>
      </c>
      <c r="G294" s="84"/>
      <c r="H294" s="85"/>
      <c r="I294" s="85"/>
      <c r="J294" s="85"/>
      <c r="K294" s="85"/>
      <c r="L294" s="86"/>
    </row>
    <row r="295" spans="1:12" x14ac:dyDescent="0.2">
      <c r="A295" s="81" t="s">
        <v>2333</v>
      </c>
      <c r="B295" s="81" t="s">
        <v>1900</v>
      </c>
      <c r="C295" s="81" t="s">
        <v>2332</v>
      </c>
      <c r="D295" s="81" t="s">
        <v>3210</v>
      </c>
      <c r="E295" s="81" t="s">
        <v>2782</v>
      </c>
      <c r="F295" s="81" t="s">
        <v>2764</v>
      </c>
      <c r="G295" s="84"/>
      <c r="H295" s="85"/>
      <c r="I295" s="85"/>
      <c r="J295" s="85"/>
      <c r="K295" s="85"/>
      <c r="L295" s="86"/>
    </row>
    <row r="296" spans="1:12" x14ac:dyDescent="0.2">
      <c r="A296" s="81" t="s">
        <v>1892</v>
      </c>
      <c r="B296" s="81" t="s">
        <v>1893</v>
      </c>
      <c r="C296" s="81" t="s">
        <v>1891</v>
      </c>
      <c r="D296" s="81" t="s">
        <v>3314</v>
      </c>
      <c r="E296" s="81" t="s">
        <v>2770</v>
      </c>
      <c r="F296" s="81" t="s">
        <v>2826</v>
      </c>
      <c r="G296" s="84"/>
      <c r="H296" s="85"/>
      <c r="I296" s="85"/>
      <c r="J296" s="85"/>
      <c r="K296" s="85"/>
      <c r="L296" s="86"/>
    </row>
    <row r="297" spans="1:12" x14ac:dyDescent="0.2">
      <c r="A297" s="81" t="s">
        <v>2054</v>
      </c>
      <c r="B297" s="81" t="s">
        <v>2055</v>
      </c>
      <c r="C297" s="81" t="s">
        <v>2053</v>
      </c>
      <c r="D297" s="81" t="s">
        <v>3315</v>
      </c>
      <c r="E297" s="81" t="s">
        <v>2770</v>
      </c>
      <c r="F297" s="81" t="s">
        <v>2826</v>
      </c>
      <c r="G297" s="84"/>
      <c r="H297" s="85"/>
      <c r="I297" s="85"/>
      <c r="J297" s="85"/>
      <c r="K297" s="85"/>
      <c r="L297" s="86"/>
    </row>
    <row r="298" spans="1:12" x14ac:dyDescent="0.2">
      <c r="A298" s="81" t="s">
        <v>1688</v>
      </c>
      <c r="B298" s="81" t="s">
        <v>1689</v>
      </c>
      <c r="C298" s="81" t="s">
        <v>1687</v>
      </c>
      <c r="D298" s="81" t="s">
        <v>3316</v>
      </c>
      <c r="E298" s="81" t="s">
        <v>2775</v>
      </c>
      <c r="F298" s="81" t="s">
        <v>2778</v>
      </c>
      <c r="G298" s="84"/>
      <c r="H298" s="85"/>
      <c r="I298" s="85"/>
      <c r="J298" s="85"/>
      <c r="K298" s="85"/>
      <c r="L298" s="86"/>
    </row>
    <row r="299" spans="1:12" x14ac:dyDescent="0.2">
      <c r="A299" s="81" t="s">
        <v>1795</v>
      </c>
      <c r="B299" s="81" t="s">
        <v>1796</v>
      </c>
      <c r="C299" s="81" t="s">
        <v>1794</v>
      </c>
      <c r="D299" s="81" t="s">
        <v>3317</v>
      </c>
      <c r="E299" s="81" t="s">
        <v>2770</v>
      </c>
      <c r="F299" s="81" t="s">
        <v>2827</v>
      </c>
      <c r="G299" s="84"/>
      <c r="H299" s="85"/>
      <c r="I299" s="85"/>
      <c r="J299" s="85"/>
      <c r="K299" s="85"/>
      <c r="L299" s="86"/>
    </row>
    <row r="300" spans="1:12" x14ac:dyDescent="0.2">
      <c r="A300" s="84" t="s">
        <v>1795</v>
      </c>
      <c r="B300" s="84" t="s">
        <v>1796</v>
      </c>
      <c r="C300" s="81" t="s">
        <v>2711</v>
      </c>
      <c r="D300" s="81" t="s">
        <v>3317</v>
      </c>
      <c r="E300" s="81" t="s">
        <v>2770</v>
      </c>
      <c r="F300" s="81" t="s">
        <v>2827</v>
      </c>
      <c r="G300" s="84"/>
      <c r="H300" s="85"/>
      <c r="I300" s="85"/>
      <c r="J300" s="85"/>
      <c r="K300" s="85"/>
      <c r="L300" s="86"/>
    </row>
    <row r="301" spans="1:12" x14ac:dyDescent="0.2">
      <c r="A301" s="81" t="s">
        <v>1800</v>
      </c>
      <c r="B301" s="81" t="s">
        <v>1801</v>
      </c>
      <c r="C301" s="81" t="s">
        <v>1799</v>
      </c>
      <c r="D301" s="81" t="s">
        <v>3318</v>
      </c>
      <c r="E301" s="81" t="s">
        <v>2770</v>
      </c>
      <c r="F301" s="81" t="s">
        <v>2828</v>
      </c>
      <c r="G301" s="84"/>
      <c r="H301" s="85"/>
      <c r="I301" s="85"/>
      <c r="J301" s="85"/>
      <c r="K301" s="85"/>
      <c r="L301" s="86"/>
    </row>
    <row r="302" spans="1:12" x14ac:dyDescent="0.2">
      <c r="A302" s="81" t="s">
        <v>1810</v>
      </c>
      <c r="B302" s="81" t="s">
        <v>1811</v>
      </c>
      <c r="C302" s="81" t="s">
        <v>1809</v>
      </c>
      <c r="D302" s="81" t="s">
        <v>3319</v>
      </c>
      <c r="E302" s="81" t="s">
        <v>2770</v>
      </c>
      <c r="F302" s="81" t="s">
        <v>2827</v>
      </c>
      <c r="G302" s="84"/>
      <c r="H302" s="85"/>
      <c r="I302" s="85"/>
      <c r="J302" s="85"/>
      <c r="K302" s="85"/>
      <c r="L302" s="86"/>
    </row>
    <row r="303" spans="1:12" x14ac:dyDescent="0.2">
      <c r="A303" s="81" t="s">
        <v>2041</v>
      </c>
      <c r="B303" s="81" t="s">
        <v>2042</v>
      </c>
      <c r="C303" s="81" t="s">
        <v>2040</v>
      </c>
      <c r="D303" s="81" t="s">
        <v>3320</v>
      </c>
      <c r="E303" s="81" t="s">
        <v>2770</v>
      </c>
      <c r="F303" s="81" t="s">
        <v>1920</v>
      </c>
      <c r="G303" s="84"/>
      <c r="H303" s="85"/>
      <c r="I303" s="85"/>
      <c r="J303" s="85"/>
      <c r="K303" s="85"/>
      <c r="L303" s="86"/>
    </row>
    <row r="304" spans="1:12" x14ac:dyDescent="0.2">
      <c r="A304" s="81" t="s">
        <v>1693</v>
      </c>
      <c r="B304" s="81" t="s">
        <v>1694</v>
      </c>
      <c r="C304" s="81" t="s">
        <v>1692</v>
      </c>
      <c r="D304" s="81" t="s">
        <v>3321</v>
      </c>
      <c r="E304" s="81" t="s">
        <v>2775</v>
      </c>
      <c r="F304" s="81" t="s">
        <v>2777</v>
      </c>
      <c r="G304" s="84"/>
      <c r="H304" s="85"/>
      <c r="I304" s="85"/>
      <c r="J304" s="85"/>
      <c r="K304" s="85"/>
      <c r="L304" s="86"/>
    </row>
    <row r="305" spans="1:12" x14ac:dyDescent="0.2">
      <c r="A305" s="81" t="s">
        <v>1825</v>
      </c>
      <c r="B305" s="81" t="s">
        <v>1826</v>
      </c>
      <c r="C305" s="81" t="s">
        <v>1824</v>
      </c>
      <c r="D305" s="81" t="s">
        <v>3322</v>
      </c>
      <c r="E305" s="81" t="s">
        <v>2770</v>
      </c>
      <c r="F305" s="81" t="s">
        <v>2827</v>
      </c>
      <c r="G305" s="84"/>
      <c r="H305" s="85"/>
      <c r="I305" s="85"/>
      <c r="J305" s="85"/>
      <c r="K305" s="85"/>
      <c r="L305" s="86"/>
    </row>
    <row r="306" spans="1:12" x14ac:dyDescent="0.2">
      <c r="A306" s="81" t="s">
        <v>1865</v>
      </c>
      <c r="B306" s="81" t="s">
        <v>1866</v>
      </c>
      <c r="C306" s="81" t="s">
        <v>1864</v>
      </c>
      <c r="D306" s="81" t="s">
        <v>3323</v>
      </c>
      <c r="E306" s="81" t="s">
        <v>2770</v>
      </c>
      <c r="F306" s="81" t="s">
        <v>2827</v>
      </c>
      <c r="G306" s="84"/>
      <c r="H306" s="85"/>
      <c r="I306" s="85"/>
      <c r="J306" s="85"/>
      <c r="K306" s="85"/>
      <c r="L306" s="86"/>
    </row>
    <row r="307" spans="1:12" x14ac:dyDescent="0.2">
      <c r="A307" s="81" t="s">
        <v>1698</v>
      </c>
      <c r="B307" s="81" t="s">
        <v>1699</v>
      </c>
      <c r="C307" s="81" t="s">
        <v>1697</v>
      </c>
      <c r="D307" s="81" t="s">
        <v>3324</v>
      </c>
      <c r="E307" s="81" t="s">
        <v>2775</v>
      </c>
      <c r="F307" s="81" t="s">
        <v>2779</v>
      </c>
      <c r="G307" s="84"/>
      <c r="H307" s="85"/>
      <c r="I307" s="85"/>
      <c r="J307" s="85"/>
      <c r="K307" s="85"/>
      <c r="L307" s="86"/>
    </row>
    <row r="308" spans="1:12" x14ac:dyDescent="0.2">
      <c r="A308" s="81" t="s">
        <v>1003</v>
      </c>
      <c r="B308" s="81" t="s">
        <v>821</v>
      </c>
      <c r="C308" s="81" t="s">
        <v>1002</v>
      </c>
      <c r="D308" s="81" t="s">
        <v>3236</v>
      </c>
      <c r="E308" s="81" t="s">
        <v>2762</v>
      </c>
      <c r="F308" s="81" t="s">
        <v>2774</v>
      </c>
      <c r="G308" s="84"/>
      <c r="H308" s="85"/>
      <c r="I308" s="85"/>
      <c r="J308" s="85"/>
      <c r="K308" s="85"/>
      <c r="L308" s="86"/>
    </row>
    <row r="309" spans="1:12" x14ac:dyDescent="0.2">
      <c r="A309" s="81" t="s">
        <v>996</v>
      </c>
      <c r="B309" s="81" t="s">
        <v>997</v>
      </c>
      <c r="C309" s="81" t="s">
        <v>995</v>
      </c>
      <c r="D309" s="81" t="s">
        <v>3247</v>
      </c>
      <c r="E309" s="81" t="s">
        <v>2762</v>
      </c>
      <c r="F309" s="81" t="s">
        <v>2763</v>
      </c>
      <c r="G309" s="84"/>
      <c r="H309" s="85"/>
      <c r="I309" s="85"/>
      <c r="J309" s="85"/>
      <c r="K309" s="85"/>
      <c r="L309" s="86"/>
    </row>
    <row r="310" spans="1:12" x14ac:dyDescent="0.2">
      <c r="A310" s="81" t="s">
        <v>1005</v>
      </c>
      <c r="B310" s="81" t="s">
        <v>842</v>
      </c>
      <c r="C310" s="81" t="s">
        <v>1004</v>
      </c>
      <c r="D310" s="81" t="s">
        <v>3190</v>
      </c>
      <c r="E310" s="81" t="s">
        <v>2759</v>
      </c>
      <c r="F310" s="81" t="s">
        <v>2760</v>
      </c>
      <c r="G310" s="84"/>
      <c r="H310" s="85"/>
      <c r="I310" s="85"/>
      <c r="J310" s="85"/>
      <c r="K310" s="85"/>
      <c r="L310" s="86"/>
    </row>
    <row r="311" spans="1:12" x14ac:dyDescent="0.2">
      <c r="A311" s="81" t="s">
        <v>1001</v>
      </c>
      <c r="B311" s="81" t="s">
        <v>816</v>
      </c>
      <c r="C311" s="81" t="s">
        <v>1000</v>
      </c>
      <c r="D311" s="81" t="s">
        <v>3189</v>
      </c>
      <c r="E311" s="81" t="s">
        <v>2762</v>
      </c>
      <c r="F311" s="81" t="s">
        <v>2766</v>
      </c>
      <c r="G311" s="84"/>
      <c r="H311" s="85"/>
      <c r="I311" s="85"/>
      <c r="J311" s="85"/>
      <c r="K311" s="85"/>
      <c r="L311" s="86"/>
    </row>
    <row r="312" spans="1:12" x14ac:dyDescent="0.2">
      <c r="A312" s="81" t="s">
        <v>1820</v>
      </c>
      <c r="B312" s="81" t="s">
        <v>1821</v>
      </c>
      <c r="C312" s="81" t="s">
        <v>1819</v>
      </c>
      <c r="D312" s="81" t="s">
        <v>3325</v>
      </c>
      <c r="E312" s="81" t="s">
        <v>2770</v>
      </c>
      <c r="F312" s="81" t="s">
        <v>2826</v>
      </c>
      <c r="G312" s="84"/>
      <c r="H312" s="85"/>
      <c r="I312" s="85"/>
      <c r="J312" s="85"/>
      <c r="K312" s="85"/>
      <c r="L312" s="86"/>
    </row>
    <row r="313" spans="1:12" x14ac:dyDescent="0.2">
      <c r="A313" s="81" t="s">
        <v>1237</v>
      </c>
      <c r="B313" s="81" t="s">
        <v>1238</v>
      </c>
      <c r="C313" s="81" t="s">
        <v>1236</v>
      </c>
      <c r="D313" s="81" t="s">
        <v>3326</v>
      </c>
      <c r="E313" s="81" t="s">
        <v>2767</v>
      </c>
      <c r="F313" s="81" t="s">
        <v>2829</v>
      </c>
      <c r="G313" s="84"/>
      <c r="H313" s="85"/>
      <c r="I313" s="85"/>
      <c r="J313" s="85"/>
      <c r="K313" s="85"/>
      <c r="L313" s="86"/>
    </row>
    <row r="314" spans="1:12" x14ac:dyDescent="0.2">
      <c r="A314" s="84" t="s">
        <v>1237</v>
      </c>
      <c r="B314" s="84" t="s">
        <v>1238</v>
      </c>
      <c r="C314" s="81" t="s">
        <v>2662</v>
      </c>
      <c r="D314" s="81" t="s">
        <v>3326</v>
      </c>
      <c r="E314" s="81" t="s">
        <v>2767</v>
      </c>
      <c r="F314" s="81" t="s">
        <v>2829</v>
      </c>
      <c r="G314" s="84"/>
      <c r="H314" s="85"/>
      <c r="I314" s="85"/>
      <c r="J314" s="85"/>
      <c r="K314" s="85"/>
      <c r="L314" s="86"/>
    </row>
    <row r="315" spans="1:12" x14ac:dyDescent="0.2">
      <c r="A315" s="81" t="s">
        <v>1550</v>
      </c>
      <c r="B315" s="81" t="s">
        <v>1551</v>
      </c>
      <c r="C315" s="81" t="s">
        <v>1549</v>
      </c>
      <c r="D315" s="81" t="s">
        <v>3327</v>
      </c>
      <c r="E315" s="81" t="s">
        <v>2786</v>
      </c>
      <c r="F315" s="81" t="s">
        <v>2830</v>
      </c>
      <c r="G315" s="84"/>
      <c r="H315" s="85"/>
      <c r="I315" s="85"/>
      <c r="J315" s="85"/>
      <c r="K315" s="85"/>
      <c r="L315" s="86"/>
    </row>
    <row r="316" spans="1:12" x14ac:dyDescent="0.2">
      <c r="A316" s="81" t="s">
        <v>2198</v>
      </c>
      <c r="B316" s="81" t="s">
        <v>2199</v>
      </c>
      <c r="C316" s="81" t="s">
        <v>2197</v>
      </c>
      <c r="D316" s="81" t="s">
        <v>3328</v>
      </c>
      <c r="E316" s="81" t="s">
        <v>2782</v>
      </c>
      <c r="F316" s="81" t="s">
        <v>2810</v>
      </c>
      <c r="G316" s="84"/>
      <c r="H316" s="85"/>
      <c r="I316" s="85"/>
      <c r="J316" s="85"/>
      <c r="K316" s="85"/>
      <c r="L316" s="86"/>
    </row>
    <row r="317" spans="1:12" x14ac:dyDescent="0.2">
      <c r="A317" s="84" t="s">
        <v>2198</v>
      </c>
      <c r="B317" s="84" t="s">
        <v>2199</v>
      </c>
      <c r="C317" s="81" t="s">
        <v>2725</v>
      </c>
      <c r="D317" s="81" t="s">
        <v>3328</v>
      </c>
      <c r="E317" s="81" t="s">
        <v>2782</v>
      </c>
      <c r="F317" s="81" t="s">
        <v>2810</v>
      </c>
      <c r="G317" s="84"/>
      <c r="H317" s="85"/>
      <c r="I317" s="85"/>
      <c r="J317" s="85"/>
      <c r="K317" s="85"/>
      <c r="L317" s="86"/>
    </row>
    <row r="318" spans="1:12" x14ac:dyDescent="0.2">
      <c r="A318" s="81" t="s">
        <v>2739</v>
      </c>
      <c r="B318" s="81" t="s">
        <v>2740</v>
      </c>
      <c r="C318" s="81" t="s">
        <v>2738</v>
      </c>
      <c r="D318" s="81" t="s">
        <v>3271</v>
      </c>
      <c r="E318" s="81" t="s">
        <v>2782</v>
      </c>
      <c r="F318" s="81" t="s">
        <v>2810</v>
      </c>
      <c r="G318" s="84"/>
      <c r="H318" s="85"/>
      <c r="I318" s="85"/>
      <c r="J318" s="85"/>
      <c r="K318" s="85"/>
      <c r="L318" s="86"/>
    </row>
    <row r="319" spans="1:12" x14ac:dyDescent="0.2">
      <c r="A319" s="84" t="s">
        <v>2739</v>
      </c>
      <c r="B319" s="81" t="s">
        <v>2744</v>
      </c>
      <c r="C319" s="81" t="s">
        <v>2743</v>
      </c>
      <c r="D319" s="81" t="s">
        <v>3271</v>
      </c>
      <c r="E319" s="81" t="s">
        <v>2782</v>
      </c>
      <c r="F319" s="81" t="s">
        <v>2810</v>
      </c>
      <c r="G319" s="84"/>
      <c r="H319" s="85"/>
      <c r="I319" s="85"/>
      <c r="J319" s="85"/>
      <c r="K319" s="85"/>
      <c r="L319" s="86"/>
    </row>
    <row r="320" spans="1:12" x14ac:dyDescent="0.2">
      <c r="A320" s="81" t="s">
        <v>2742</v>
      </c>
      <c r="B320" s="81" t="s">
        <v>2097</v>
      </c>
      <c r="C320" s="81" t="s">
        <v>2741</v>
      </c>
      <c r="D320" s="81" t="s">
        <v>3329</v>
      </c>
      <c r="E320" s="81" t="s">
        <v>2786</v>
      </c>
      <c r="F320" s="81" t="s">
        <v>2831</v>
      </c>
      <c r="G320" s="84"/>
      <c r="H320" s="85"/>
      <c r="I320" s="85"/>
      <c r="J320" s="85"/>
      <c r="K320" s="85"/>
      <c r="L320" s="86"/>
    </row>
    <row r="321" spans="1:12" x14ac:dyDescent="0.2">
      <c r="A321" s="81" t="s">
        <v>1426</v>
      </c>
      <c r="B321" s="81" t="s">
        <v>1427</v>
      </c>
      <c r="C321" s="81" t="s">
        <v>1425</v>
      </c>
      <c r="D321" s="81" t="s">
        <v>3200</v>
      </c>
      <c r="E321" s="81" t="s">
        <v>2762</v>
      </c>
      <c r="F321" s="81" t="s">
        <v>2774</v>
      </c>
      <c r="G321" s="84"/>
      <c r="H321" s="85"/>
      <c r="I321" s="85"/>
      <c r="J321" s="85"/>
      <c r="K321" s="85"/>
      <c r="L321" s="86"/>
    </row>
    <row r="322" spans="1:12" x14ac:dyDescent="0.2">
      <c r="A322" s="84" t="s">
        <v>1426</v>
      </c>
      <c r="B322" s="84" t="s">
        <v>1427</v>
      </c>
      <c r="C322" s="81" t="s">
        <v>2669</v>
      </c>
      <c r="D322" s="81" t="s">
        <v>3200</v>
      </c>
      <c r="E322" s="81" t="s">
        <v>2762</v>
      </c>
      <c r="F322" s="81" t="s">
        <v>2774</v>
      </c>
      <c r="G322" s="84"/>
      <c r="H322" s="85"/>
      <c r="I322" s="85"/>
      <c r="J322" s="85"/>
      <c r="K322" s="85"/>
      <c r="L322" s="86"/>
    </row>
    <row r="323" spans="1:12" x14ac:dyDescent="0.2">
      <c r="A323" s="81" t="s">
        <v>2104</v>
      </c>
      <c r="B323" s="81" t="s">
        <v>2105</v>
      </c>
      <c r="C323" s="81" t="s">
        <v>2103</v>
      </c>
      <c r="D323" s="81" t="s">
        <v>3330</v>
      </c>
      <c r="E323" s="81" t="s">
        <v>2780</v>
      </c>
      <c r="F323" s="81" t="s">
        <v>2820</v>
      </c>
      <c r="G323" s="84"/>
      <c r="H323" s="85"/>
      <c r="I323" s="85"/>
      <c r="J323" s="85"/>
      <c r="K323" s="85"/>
      <c r="L323" s="86"/>
    </row>
    <row r="324" spans="1:12" x14ac:dyDescent="0.2">
      <c r="A324" s="84" t="s">
        <v>2104</v>
      </c>
      <c r="B324" s="84" t="s">
        <v>2105</v>
      </c>
      <c r="C324" s="81" t="s">
        <v>2723</v>
      </c>
      <c r="D324" s="81" t="s">
        <v>3330</v>
      </c>
      <c r="E324" s="81" t="s">
        <v>2780</v>
      </c>
      <c r="F324" s="81" t="s">
        <v>2820</v>
      </c>
      <c r="G324" s="84"/>
      <c r="H324" s="85"/>
      <c r="I324" s="85"/>
      <c r="J324" s="85"/>
      <c r="K324" s="85"/>
      <c r="L324" s="86"/>
    </row>
    <row r="325" spans="1:12" x14ac:dyDescent="0.2">
      <c r="A325" s="81" t="s">
        <v>1555</v>
      </c>
      <c r="B325" s="81" t="s">
        <v>847</v>
      </c>
      <c r="C325" s="81" t="s">
        <v>1554</v>
      </c>
      <c r="D325" s="81" t="s">
        <v>3331</v>
      </c>
      <c r="E325" s="81" t="s">
        <v>2786</v>
      </c>
      <c r="F325" s="81" t="s">
        <v>2795</v>
      </c>
      <c r="G325" s="84"/>
      <c r="H325" s="85"/>
      <c r="I325" s="85"/>
      <c r="J325" s="85"/>
      <c r="K325" s="85"/>
      <c r="L325" s="86"/>
    </row>
    <row r="326" spans="1:12" x14ac:dyDescent="0.2">
      <c r="A326" s="81" t="s">
        <v>3175</v>
      </c>
      <c r="B326" s="81" t="s">
        <v>3177</v>
      </c>
      <c r="C326" s="81" t="s">
        <v>3176</v>
      </c>
      <c r="D326" s="81" t="s">
        <v>3327</v>
      </c>
      <c r="E326" s="81" t="s">
        <v>2786</v>
      </c>
      <c r="F326" s="81" t="s">
        <v>2830</v>
      </c>
      <c r="G326" s="84"/>
      <c r="H326" s="85"/>
      <c r="I326" s="85"/>
      <c r="J326" s="85"/>
      <c r="K326" s="85"/>
      <c r="L326" s="86"/>
    </row>
    <row r="327" spans="1:12" x14ac:dyDescent="0.2">
      <c r="A327" s="81" t="s">
        <v>1353</v>
      </c>
      <c r="B327" s="81" t="s">
        <v>1354</v>
      </c>
      <c r="C327" s="81" t="s">
        <v>1352</v>
      </c>
      <c r="D327" s="81" t="s">
        <v>3332</v>
      </c>
      <c r="E327" s="81" t="s">
        <v>2762</v>
      </c>
      <c r="F327" s="81" t="s">
        <v>2763</v>
      </c>
      <c r="G327" s="84"/>
      <c r="H327" s="85"/>
      <c r="I327" s="85"/>
      <c r="J327" s="85"/>
      <c r="K327" s="85"/>
      <c r="L327" s="86"/>
    </row>
    <row r="328" spans="1:12" x14ac:dyDescent="0.2">
      <c r="A328" s="81" t="s">
        <v>1388</v>
      </c>
      <c r="B328" s="81" t="s">
        <v>1389</v>
      </c>
      <c r="C328" s="81" t="s">
        <v>1387</v>
      </c>
      <c r="D328" s="81" t="s">
        <v>3191</v>
      </c>
      <c r="E328" s="81" t="s">
        <v>2762</v>
      </c>
      <c r="F328" s="81" t="s">
        <v>2766</v>
      </c>
      <c r="G328" s="84"/>
      <c r="H328" s="85"/>
      <c r="I328" s="85"/>
      <c r="J328" s="85"/>
      <c r="K328" s="85"/>
      <c r="L328" s="86"/>
    </row>
    <row r="329" spans="1:12" x14ac:dyDescent="0.2">
      <c r="A329" s="84" t="s">
        <v>1388</v>
      </c>
      <c r="B329" s="81" t="s">
        <v>2668</v>
      </c>
      <c r="C329" s="81" t="s">
        <v>2667</v>
      </c>
      <c r="D329" s="81" t="s">
        <v>3191</v>
      </c>
      <c r="E329" s="81" t="s">
        <v>2762</v>
      </c>
      <c r="F329" s="81" t="s">
        <v>2766</v>
      </c>
      <c r="G329" s="84"/>
      <c r="H329" s="85"/>
      <c r="I329" s="85"/>
      <c r="J329" s="85"/>
      <c r="K329" s="85"/>
      <c r="L329" s="86"/>
    </row>
    <row r="330" spans="1:12" x14ac:dyDescent="0.2">
      <c r="A330" s="81" t="s">
        <v>1445</v>
      </c>
      <c r="B330" s="81" t="s">
        <v>1446</v>
      </c>
      <c r="C330" s="81" t="s">
        <v>1444</v>
      </c>
      <c r="D330" s="81" t="s">
        <v>3192</v>
      </c>
      <c r="E330" s="81" t="s">
        <v>2762</v>
      </c>
      <c r="F330" s="81" t="s">
        <v>2766</v>
      </c>
      <c r="G330" s="84"/>
      <c r="H330" s="85"/>
      <c r="I330" s="85"/>
      <c r="J330" s="85"/>
      <c r="K330" s="85"/>
      <c r="L330" s="86"/>
    </row>
    <row r="331" spans="1:12" x14ac:dyDescent="0.2">
      <c r="A331" s="81" t="s">
        <v>1589</v>
      </c>
      <c r="B331" s="81" t="s">
        <v>1590</v>
      </c>
      <c r="C331" s="81" t="s">
        <v>1588</v>
      </c>
      <c r="D331" s="81" t="s">
        <v>3333</v>
      </c>
      <c r="E331" s="81" t="s">
        <v>2786</v>
      </c>
      <c r="F331" s="81" t="s">
        <v>2832</v>
      </c>
      <c r="G331" s="84"/>
      <c r="H331" s="85"/>
      <c r="I331" s="85"/>
      <c r="J331" s="85"/>
      <c r="K331" s="85"/>
      <c r="L331" s="86"/>
    </row>
    <row r="332" spans="1:12" x14ac:dyDescent="0.2">
      <c r="A332" s="81" t="s">
        <v>1285</v>
      </c>
      <c r="B332" s="81" t="s">
        <v>1286</v>
      </c>
      <c r="C332" s="81" t="s">
        <v>1284</v>
      </c>
      <c r="D332" s="81" t="s">
        <v>3334</v>
      </c>
      <c r="E332" s="81" t="s">
        <v>2762</v>
      </c>
      <c r="F332" s="81" t="s">
        <v>2764</v>
      </c>
      <c r="G332" s="84"/>
      <c r="H332" s="85"/>
      <c r="I332" s="85"/>
      <c r="J332" s="85"/>
      <c r="K332" s="85"/>
      <c r="L332" s="86"/>
    </row>
    <row r="333" spans="1:12" x14ac:dyDescent="0.2">
      <c r="A333" s="81" t="s">
        <v>2285</v>
      </c>
      <c r="B333" s="81" t="s">
        <v>3125</v>
      </c>
      <c r="C333" s="81" t="s">
        <v>2284</v>
      </c>
      <c r="D333" s="81" t="s">
        <v>3335</v>
      </c>
      <c r="E333" s="81" t="s">
        <v>2782</v>
      </c>
      <c r="F333" s="81" t="s">
        <v>2819</v>
      </c>
      <c r="G333" s="84"/>
      <c r="H333" s="85"/>
      <c r="I333" s="85"/>
      <c r="J333" s="85"/>
      <c r="K333" s="85"/>
      <c r="L333" s="86"/>
    </row>
    <row r="334" spans="1:12" x14ac:dyDescent="0.2">
      <c r="A334" s="81" t="s">
        <v>3127</v>
      </c>
      <c r="B334" s="81" t="s">
        <v>3125</v>
      </c>
      <c r="C334" s="81" t="s">
        <v>3128</v>
      </c>
      <c r="D334" s="81" t="s">
        <v>3335</v>
      </c>
      <c r="E334" s="81" t="s">
        <v>2782</v>
      </c>
      <c r="F334" s="81" t="s">
        <v>2819</v>
      </c>
      <c r="G334" s="84"/>
      <c r="H334" s="85"/>
      <c r="I334" s="85"/>
      <c r="J334" s="85"/>
      <c r="K334" s="85"/>
      <c r="L334" s="86"/>
    </row>
    <row r="335" spans="1:12" x14ac:dyDescent="0.2">
      <c r="A335" s="81" t="s">
        <v>1776</v>
      </c>
      <c r="B335" s="81" t="s">
        <v>1777</v>
      </c>
      <c r="C335" s="81" t="s">
        <v>1775</v>
      </c>
      <c r="D335" s="81" t="s">
        <v>3336</v>
      </c>
      <c r="E335" s="81" t="s">
        <v>2775</v>
      </c>
      <c r="F335" s="81" t="s">
        <v>2833</v>
      </c>
      <c r="G335" s="84"/>
      <c r="H335" s="85"/>
      <c r="I335" s="85"/>
      <c r="J335" s="85"/>
      <c r="K335" s="85"/>
      <c r="L335" s="86"/>
    </row>
    <row r="336" spans="1:12" x14ac:dyDescent="0.2">
      <c r="A336" s="81" t="s">
        <v>2033</v>
      </c>
      <c r="B336" s="81" t="s">
        <v>2034</v>
      </c>
      <c r="C336" s="81" t="s">
        <v>2032</v>
      </c>
      <c r="D336" s="81" t="s">
        <v>3337</v>
      </c>
      <c r="E336" s="81" t="s">
        <v>2770</v>
      </c>
      <c r="F336" s="81" t="s">
        <v>2826</v>
      </c>
      <c r="G336" s="84"/>
      <c r="H336" s="85"/>
      <c r="I336" s="85"/>
      <c r="J336" s="85"/>
      <c r="K336" s="85"/>
      <c r="L336" s="86"/>
    </row>
    <row r="337" spans="1:12" x14ac:dyDescent="0.2">
      <c r="A337" s="81" t="s">
        <v>1667</v>
      </c>
      <c r="B337" s="81" t="s">
        <v>1668</v>
      </c>
      <c r="C337" s="81" t="s">
        <v>1666</v>
      </c>
      <c r="D337" s="81" t="s">
        <v>3338</v>
      </c>
      <c r="E337" s="81" t="s">
        <v>2834</v>
      </c>
      <c r="F337" s="81" t="s">
        <v>2835</v>
      </c>
      <c r="G337" s="84"/>
      <c r="H337" s="85"/>
      <c r="I337" s="85"/>
      <c r="J337" s="85"/>
      <c r="K337" s="85"/>
      <c r="L337" s="86"/>
    </row>
    <row r="338" spans="1:12" x14ac:dyDescent="0.2">
      <c r="A338" s="84" t="s">
        <v>1667</v>
      </c>
      <c r="B338" s="84" t="s">
        <v>1668</v>
      </c>
      <c r="C338" s="81" t="s">
        <v>2693</v>
      </c>
      <c r="D338" s="81" t="s">
        <v>3338</v>
      </c>
      <c r="E338" s="81" t="s">
        <v>2834</v>
      </c>
      <c r="F338" s="81" t="s">
        <v>2835</v>
      </c>
      <c r="G338" s="84"/>
      <c r="H338" s="85"/>
      <c r="I338" s="85"/>
      <c r="J338" s="85"/>
      <c r="K338" s="85"/>
      <c r="L338" s="86"/>
    </row>
    <row r="339" spans="1:12" x14ac:dyDescent="0.2">
      <c r="A339" s="81" t="s">
        <v>2081</v>
      </c>
      <c r="B339" s="81" t="s">
        <v>2082</v>
      </c>
      <c r="C339" s="81" t="s">
        <v>2080</v>
      </c>
      <c r="D339" s="81" t="s">
        <v>3325</v>
      </c>
      <c r="E339" s="81" t="s">
        <v>2770</v>
      </c>
      <c r="F339" s="81" t="s">
        <v>2826</v>
      </c>
      <c r="G339" s="84"/>
      <c r="H339" s="85"/>
      <c r="I339" s="85"/>
      <c r="J339" s="85"/>
      <c r="K339" s="85"/>
      <c r="L339" s="86"/>
    </row>
    <row r="340" spans="1:12" x14ac:dyDescent="0.2">
      <c r="A340" s="81" t="s">
        <v>1836</v>
      </c>
      <c r="B340" s="81" t="s">
        <v>1837</v>
      </c>
      <c r="C340" s="81" t="s">
        <v>1835</v>
      </c>
      <c r="D340" s="81" t="s">
        <v>3339</v>
      </c>
      <c r="E340" s="81" t="s">
        <v>2770</v>
      </c>
      <c r="F340" s="81" t="s">
        <v>2836</v>
      </c>
      <c r="G340" s="84"/>
      <c r="H340" s="85"/>
      <c r="I340" s="85"/>
      <c r="J340" s="85"/>
      <c r="K340" s="85"/>
      <c r="L340" s="86"/>
    </row>
    <row r="341" spans="1:12" x14ac:dyDescent="0.2">
      <c r="A341" s="81" t="s">
        <v>1847</v>
      </c>
      <c r="B341" s="81" t="s">
        <v>1848</v>
      </c>
      <c r="C341" s="81" t="s">
        <v>1846</v>
      </c>
      <c r="D341" s="81" t="s">
        <v>3271</v>
      </c>
      <c r="E341" s="81" t="s">
        <v>2782</v>
      </c>
      <c r="F341" s="81" t="s">
        <v>2810</v>
      </c>
      <c r="G341" s="84"/>
      <c r="H341" s="85"/>
      <c r="I341" s="85"/>
      <c r="J341" s="85"/>
      <c r="K341" s="85"/>
      <c r="L341" s="86"/>
    </row>
    <row r="342" spans="1:12" x14ac:dyDescent="0.2">
      <c r="A342" s="81" t="s">
        <v>1844</v>
      </c>
      <c r="B342" s="81" t="s">
        <v>1845</v>
      </c>
      <c r="C342" s="81" t="s">
        <v>1843</v>
      </c>
      <c r="D342" s="81" t="s">
        <v>3217</v>
      </c>
      <c r="E342" s="81" t="s">
        <v>2770</v>
      </c>
      <c r="F342" s="81" t="s">
        <v>2789</v>
      </c>
      <c r="G342" s="84"/>
      <c r="H342" s="85"/>
      <c r="I342" s="85"/>
      <c r="J342" s="85"/>
      <c r="K342" s="85"/>
      <c r="L342" s="86"/>
    </row>
    <row r="343" spans="1:12" x14ac:dyDescent="0.2">
      <c r="A343" s="81" t="s">
        <v>1841</v>
      </c>
      <c r="B343" s="81" t="s">
        <v>1842</v>
      </c>
      <c r="C343" s="81" t="s">
        <v>1840</v>
      </c>
      <c r="D343" s="81" t="s">
        <v>3217</v>
      </c>
      <c r="E343" s="81" t="s">
        <v>2770</v>
      </c>
      <c r="F343" s="81" t="s">
        <v>2789</v>
      </c>
      <c r="G343" s="84"/>
      <c r="H343" s="85"/>
      <c r="I343" s="85"/>
      <c r="J343" s="85"/>
      <c r="K343" s="85"/>
      <c r="L343" s="86"/>
    </row>
    <row r="344" spans="1:12" x14ac:dyDescent="0.2">
      <c r="A344" s="81" t="s">
        <v>3095</v>
      </c>
      <c r="B344" s="81" t="s">
        <v>1968</v>
      </c>
      <c r="C344" s="81" t="s">
        <v>3096</v>
      </c>
      <c r="D344" s="81" t="s">
        <v>3340</v>
      </c>
      <c r="E344" s="81" t="s">
        <v>2770</v>
      </c>
      <c r="F344" s="81" t="s">
        <v>2824</v>
      </c>
      <c r="G344" s="84"/>
      <c r="H344" s="85"/>
      <c r="I344" s="85"/>
      <c r="J344" s="85"/>
      <c r="K344" s="85"/>
      <c r="L344" s="86"/>
    </row>
    <row r="345" spans="1:12" x14ac:dyDescent="0.2">
      <c r="A345" s="81" t="s">
        <v>1805</v>
      </c>
      <c r="B345" s="81" t="s">
        <v>1806</v>
      </c>
      <c r="C345" s="81" t="s">
        <v>1804</v>
      </c>
      <c r="D345" s="81" t="s">
        <v>3341</v>
      </c>
      <c r="E345" s="81" t="s">
        <v>2770</v>
      </c>
      <c r="F345" s="81" t="s">
        <v>2827</v>
      </c>
      <c r="G345" s="84"/>
      <c r="H345" s="85"/>
      <c r="I345" s="85"/>
      <c r="J345" s="85"/>
      <c r="K345" s="85"/>
      <c r="L345" s="86"/>
    </row>
    <row r="346" spans="1:12" x14ac:dyDescent="0.2">
      <c r="A346" s="81" t="s">
        <v>2145</v>
      </c>
      <c r="B346" s="81" t="s">
        <v>2146</v>
      </c>
      <c r="C346" s="81" t="s">
        <v>2144</v>
      </c>
      <c r="D346" s="81" t="s">
        <v>3290</v>
      </c>
      <c r="E346" s="81" t="s">
        <v>2780</v>
      </c>
      <c r="F346" s="81" t="s">
        <v>2797</v>
      </c>
      <c r="G346" s="84"/>
      <c r="H346" s="85"/>
      <c r="I346" s="85"/>
      <c r="J346" s="85"/>
      <c r="K346" s="85"/>
      <c r="L346" s="86"/>
    </row>
    <row r="347" spans="1:12" x14ac:dyDescent="0.2">
      <c r="A347" s="81" t="s">
        <v>2155</v>
      </c>
      <c r="B347" s="81" t="s">
        <v>2156</v>
      </c>
      <c r="C347" s="81" t="s">
        <v>2154</v>
      </c>
      <c r="D347" s="81" t="s">
        <v>3342</v>
      </c>
      <c r="E347" s="81" t="s">
        <v>2780</v>
      </c>
      <c r="F347" s="81" t="s">
        <v>2820</v>
      </c>
      <c r="G347" s="84"/>
      <c r="H347" s="85"/>
      <c r="I347" s="85"/>
      <c r="J347" s="85"/>
      <c r="K347" s="85"/>
      <c r="L347" s="86"/>
    </row>
    <row r="348" spans="1:12" x14ac:dyDescent="0.2">
      <c r="A348" s="81" t="s">
        <v>2160</v>
      </c>
      <c r="B348" s="81" t="s">
        <v>2121</v>
      </c>
      <c r="C348" s="81" t="s">
        <v>2159</v>
      </c>
      <c r="D348" s="81" t="s">
        <v>3289</v>
      </c>
      <c r="E348" s="81" t="s">
        <v>2782</v>
      </c>
      <c r="F348" s="81" t="s">
        <v>2819</v>
      </c>
      <c r="G348" s="84"/>
      <c r="H348" s="85"/>
      <c r="I348" s="85"/>
      <c r="J348" s="85"/>
      <c r="K348" s="85"/>
      <c r="L348" s="86"/>
    </row>
    <row r="349" spans="1:12" x14ac:dyDescent="0.2">
      <c r="A349" s="81" t="s">
        <v>2727</v>
      </c>
      <c r="B349" s="81" t="s">
        <v>2728</v>
      </c>
      <c r="C349" s="81" t="s">
        <v>2726</v>
      </c>
      <c r="D349" s="81" t="s">
        <v>3244</v>
      </c>
      <c r="E349" s="81" t="s">
        <v>2780</v>
      </c>
      <c r="F349" s="81" t="s">
        <v>2797</v>
      </c>
      <c r="G349" s="84"/>
      <c r="H349" s="85"/>
      <c r="I349" s="85"/>
      <c r="J349" s="85"/>
      <c r="K349" s="85"/>
      <c r="L349" s="86"/>
    </row>
    <row r="350" spans="1:12" x14ac:dyDescent="0.2">
      <c r="A350" s="81" t="s">
        <v>1632</v>
      </c>
      <c r="B350" s="81" t="s">
        <v>1633</v>
      </c>
      <c r="C350" s="81" t="s">
        <v>1631</v>
      </c>
      <c r="D350" s="81" t="s">
        <v>3343</v>
      </c>
      <c r="E350" s="81" t="s">
        <v>2834</v>
      </c>
      <c r="F350" s="81" t="s">
        <v>2837</v>
      </c>
      <c r="G350" s="84"/>
      <c r="H350" s="85"/>
      <c r="I350" s="85"/>
      <c r="J350" s="85"/>
      <c r="K350" s="85"/>
      <c r="L350" s="86"/>
    </row>
    <row r="351" spans="1:12" x14ac:dyDescent="0.2">
      <c r="A351" s="81" t="s">
        <v>1007</v>
      </c>
      <c r="B351" s="81" t="s">
        <v>1008</v>
      </c>
      <c r="C351" s="81" t="s">
        <v>1006</v>
      </c>
      <c r="D351" s="81" t="s">
        <v>3344</v>
      </c>
      <c r="E351" s="81" t="s">
        <v>2772</v>
      </c>
      <c r="F351" s="81" t="s">
        <v>2821</v>
      </c>
      <c r="G351" s="84"/>
      <c r="H351" s="85"/>
      <c r="I351" s="85"/>
      <c r="J351" s="85"/>
      <c r="K351" s="85"/>
      <c r="L351" s="86"/>
    </row>
    <row r="352" spans="1:12" x14ac:dyDescent="0.2">
      <c r="A352" s="81" t="s">
        <v>1014</v>
      </c>
      <c r="B352" s="81" t="s">
        <v>816</v>
      </c>
      <c r="C352" s="81" t="s">
        <v>1013</v>
      </c>
      <c r="D352" s="81" t="s">
        <v>3189</v>
      </c>
      <c r="E352" s="81" t="s">
        <v>2762</v>
      </c>
      <c r="F352" s="81" t="s">
        <v>2766</v>
      </c>
      <c r="G352" s="84"/>
      <c r="H352" s="85"/>
      <c r="I352" s="85"/>
      <c r="J352" s="85"/>
      <c r="K352" s="85"/>
      <c r="L352" s="86"/>
    </row>
    <row r="353" spans="1:12" x14ac:dyDescent="0.2">
      <c r="A353" s="81" t="s">
        <v>1012</v>
      </c>
      <c r="B353" s="81" t="s">
        <v>997</v>
      </c>
      <c r="C353" s="81" t="s">
        <v>1011</v>
      </c>
      <c r="D353" s="81" t="s">
        <v>3247</v>
      </c>
      <c r="E353" s="81" t="s">
        <v>2762</v>
      </c>
      <c r="F353" s="81" t="s">
        <v>2763</v>
      </c>
      <c r="G353" s="84"/>
      <c r="H353" s="85"/>
      <c r="I353" s="85"/>
      <c r="J353" s="85"/>
      <c r="K353" s="85"/>
      <c r="L353" s="86"/>
    </row>
    <row r="354" spans="1:12" x14ac:dyDescent="0.2">
      <c r="A354" s="81" t="s">
        <v>1852</v>
      </c>
      <c r="B354" s="81" t="s">
        <v>1853</v>
      </c>
      <c r="C354" s="81" t="s">
        <v>1851</v>
      </c>
      <c r="D354" s="81" t="s">
        <v>3345</v>
      </c>
      <c r="E354" s="81" t="s">
        <v>2770</v>
      </c>
      <c r="F354" s="81" t="s">
        <v>2828</v>
      </c>
      <c r="G354" s="84"/>
      <c r="H354" s="85"/>
      <c r="I354" s="85"/>
      <c r="J354" s="85"/>
      <c r="K354" s="85"/>
      <c r="L354" s="86"/>
    </row>
    <row r="355" spans="1:12" x14ac:dyDescent="0.2">
      <c r="A355" s="81" t="s">
        <v>1718</v>
      </c>
      <c r="B355" s="81" t="s">
        <v>1719</v>
      </c>
      <c r="C355" s="81" t="s">
        <v>1717</v>
      </c>
      <c r="D355" s="81" t="s">
        <v>3204</v>
      </c>
      <c r="E355" s="81" t="s">
        <v>2775</v>
      </c>
      <c r="F355" s="81" t="s">
        <v>2779</v>
      </c>
      <c r="G355" s="84"/>
      <c r="H355" s="85"/>
      <c r="I355" s="85"/>
      <c r="J355" s="85"/>
      <c r="K355" s="85"/>
      <c r="L355" s="86"/>
    </row>
    <row r="356" spans="1:12" x14ac:dyDescent="0.2">
      <c r="A356" s="81" t="s">
        <v>2066</v>
      </c>
      <c r="B356" s="81" t="s">
        <v>2067</v>
      </c>
      <c r="C356" s="81" t="s">
        <v>2065</v>
      </c>
      <c r="D356" s="81" t="s">
        <v>3315</v>
      </c>
      <c r="E356" s="81" t="s">
        <v>2770</v>
      </c>
      <c r="F356" s="81" t="s">
        <v>2826</v>
      </c>
      <c r="G356" s="84"/>
      <c r="H356" s="85"/>
      <c r="I356" s="85"/>
      <c r="J356" s="85"/>
      <c r="K356" s="85"/>
      <c r="L356" s="86"/>
    </row>
    <row r="357" spans="1:12" x14ac:dyDescent="0.2">
      <c r="A357" s="81" t="s">
        <v>3112</v>
      </c>
      <c r="B357" s="81" t="s">
        <v>3114</v>
      </c>
      <c r="C357" s="81" t="s">
        <v>3113</v>
      </c>
      <c r="D357" s="81" t="s">
        <v>3346</v>
      </c>
      <c r="E357" s="81" t="s">
        <v>2780</v>
      </c>
      <c r="F357" s="81" t="s">
        <v>1920</v>
      </c>
      <c r="G357" s="84"/>
      <c r="H357" s="85"/>
      <c r="I357" s="85"/>
      <c r="J357" s="85"/>
      <c r="K357" s="85"/>
      <c r="L357" s="86"/>
    </row>
    <row r="358" spans="1:12" x14ac:dyDescent="0.2">
      <c r="A358" s="81" t="s">
        <v>2110</v>
      </c>
      <c r="B358" s="81" t="s">
        <v>2111</v>
      </c>
      <c r="C358" s="81" t="s">
        <v>2109</v>
      </c>
      <c r="D358" s="81" t="s">
        <v>3346</v>
      </c>
      <c r="E358" s="81" t="s">
        <v>2780</v>
      </c>
      <c r="F358" s="81" t="s">
        <v>2764</v>
      </c>
      <c r="G358" s="84"/>
      <c r="H358" s="85"/>
      <c r="I358" s="85"/>
      <c r="J358" s="85"/>
      <c r="K358" s="85"/>
      <c r="L358" s="86"/>
    </row>
    <row r="359" spans="1:12" x14ac:dyDescent="0.2">
      <c r="A359" s="81" t="s">
        <v>3116</v>
      </c>
      <c r="B359" s="81" t="s">
        <v>3118</v>
      </c>
      <c r="C359" s="81" t="s">
        <v>3117</v>
      </c>
      <c r="D359" s="81" t="s">
        <v>3347</v>
      </c>
      <c r="E359" s="81" t="s">
        <v>2770</v>
      </c>
      <c r="F359" s="81" t="s">
        <v>2789</v>
      </c>
      <c r="G359" s="84"/>
      <c r="H359" s="85"/>
      <c r="I359" s="85"/>
      <c r="J359" s="85"/>
      <c r="K359" s="85"/>
      <c r="L359" s="86"/>
    </row>
    <row r="360" spans="1:12" x14ac:dyDescent="0.2">
      <c r="A360" s="81" t="s">
        <v>2235</v>
      </c>
      <c r="B360" s="81" t="s">
        <v>1992</v>
      </c>
      <c r="C360" s="81" t="s">
        <v>2234</v>
      </c>
      <c r="D360" s="81" t="s">
        <v>3207</v>
      </c>
      <c r="E360" s="81" t="s">
        <v>2782</v>
      </c>
      <c r="F360" s="81" t="s">
        <v>2784</v>
      </c>
      <c r="G360" s="84"/>
      <c r="H360" s="85"/>
      <c r="I360" s="85"/>
      <c r="J360" s="85"/>
      <c r="K360" s="85"/>
      <c r="L360" s="86"/>
    </row>
    <row r="361" spans="1:12" x14ac:dyDescent="0.2">
      <c r="A361" s="81" t="s">
        <v>2239</v>
      </c>
      <c r="B361" s="81" t="s">
        <v>909</v>
      </c>
      <c r="C361" s="81" t="s">
        <v>2238</v>
      </c>
      <c r="D361" s="81" t="s">
        <v>3224</v>
      </c>
      <c r="E361" s="81" t="s">
        <v>2782</v>
      </c>
      <c r="F361" s="81" t="s">
        <v>2838</v>
      </c>
      <c r="G361" s="84"/>
      <c r="H361" s="85"/>
      <c r="I361" s="85"/>
      <c r="J361" s="85"/>
      <c r="K361" s="85"/>
      <c r="L361" s="86"/>
    </row>
    <row r="362" spans="1:12" x14ac:dyDescent="0.2">
      <c r="A362" s="81" t="s">
        <v>2237</v>
      </c>
      <c r="B362" s="81" t="s">
        <v>2012</v>
      </c>
      <c r="C362" s="81" t="s">
        <v>2236</v>
      </c>
      <c r="D362" s="81" t="s">
        <v>3269</v>
      </c>
      <c r="E362" s="81" t="s">
        <v>2791</v>
      </c>
      <c r="F362" s="81" t="s">
        <v>1489</v>
      </c>
      <c r="G362" s="84"/>
      <c r="H362" s="85"/>
      <c r="I362" s="85"/>
      <c r="J362" s="85"/>
      <c r="K362" s="85"/>
      <c r="L362" s="86"/>
    </row>
    <row r="363" spans="1:12" x14ac:dyDescent="0.2">
      <c r="A363" s="81" t="s">
        <v>2233</v>
      </c>
      <c r="B363" s="81" t="s">
        <v>1983</v>
      </c>
      <c r="C363" s="81" t="s">
        <v>2232</v>
      </c>
      <c r="D363" s="81" t="s">
        <v>3348</v>
      </c>
      <c r="E363" s="81" t="s">
        <v>2782</v>
      </c>
      <c r="F363" s="81" t="s">
        <v>2839</v>
      </c>
      <c r="G363" s="84"/>
      <c r="H363" s="85"/>
      <c r="I363" s="85"/>
      <c r="J363" s="85"/>
      <c r="K363" s="85"/>
      <c r="L363" s="86"/>
    </row>
    <row r="364" spans="1:12" x14ac:dyDescent="0.2">
      <c r="A364" s="81" t="s">
        <v>2227</v>
      </c>
      <c r="B364" s="81" t="s">
        <v>3115</v>
      </c>
      <c r="C364" s="81" t="s">
        <v>2226</v>
      </c>
      <c r="D364" s="81" t="s">
        <v>3283</v>
      </c>
      <c r="E364" s="81" t="s">
        <v>2782</v>
      </c>
      <c r="F364" s="81" t="s">
        <v>2784</v>
      </c>
      <c r="G364" s="84"/>
      <c r="H364" s="85"/>
      <c r="I364" s="85"/>
      <c r="J364" s="85"/>
      <c r="K364" s="85"/>
      <c r="L364" s="86"/>
    </row>
    <row r="365" spans="1:12" x14ac:dyDescent="0.2">
      <c r="A365" s="81" t="s">
        <v>2230</v>
      </c>
      <c r="B365" s="81" t="s">
        <v>2231</v>
      </c>
      <c r="C365" s="81" t="s">
        <v>2229</v>
      </c>
      <c r="D365" s="81" t="s">
        <v>3207</v>
      </c>
      <c r="E365" s="81" t="s">
        <v>2782</v>
      </c>
      <c r="F365" s="81" t="s">
        <v>2784</v>
      </c>
      <c r="G365" s="84"/>
      <c r="H365" s="85"/>
      <c r="I365" s="85"/>
      <c r="J365" s="85"/>
      <c r="K365" s="85"/>
      <c r="L365" s="86"/>
    </row>
    <row r="366" spans="1:12" x14ac:dyDescent="0.2">
      <c r="A366" s="81" t="s">
        <v>2260</v>
      </c>
      <c r="B366" s="81" t="s">
        <v>2002</v>
      </c>
      <c r="C366" s="81" t="s">
        <v>2259</v>
      </c>
      <c r="D366" s="81" t="s">
        <v>3349</v>
      </c>
      <c r="E366" s="81" t="s">
        <v>2782</v>
      </c>
      <c r="F366" s="81" t="s">
        <v>1489</v>
      </c>
      <c r="G366" s="84"/>
      <c r="H366" s="85"/>
      <c r="I366" s="85"/>
      <c r="J366" s="85"/>
      <c r="K366" s="85"/>
      <c r="L366" s="86"/>
    </row>
    <row r="367" spans="1:12" x14ac:dyDescent="0.2">
      <c r="A367" s="81" t="s">
        <v>2253</v>
      </c>
      <c r="B367" s="81" t="s">
        <v>909</v>
      </c>
      <c r="C367" s="81" t="s">
        <v>2252</v>
      </c>
      <c r="D367" s="81" t="s">
        <v>3224</v>
      </c>
      <c r="E367" s="81" t="s">
        <v>2782</v>
      </c>
      <c r="F367" s="81" t="s">
        <v>2792</v>
      </c>
      <c r="G367" s="84"/>
      <c r="H367" s="85"/>
      <c r="I367" s="85"/>
      <c r="J367" s="85"/>
      <c r="K367" s="85"/>
      <c r="L367" s="86"/>
    </row>
    <row r="368" spans="1:12" x14ac:dyDescent="0.2">
      <c r="A368" s="81" t="s">
        <v>2255</v>
      </c>
      <c r="B368" s="81" t="s">
        <v>2256</v>
      </c>
      <c r="C368" s="81" t="s">
        <v>2254</v>
      </c>
      <c r="D368" s="81" t="s">
        <v>3225</v>
      </c>
      <c r="E368" s="81" t="s">
        <v>2782</v>
      </c>
      <c r="F368" s="81" t="s">
        <v>2792</v>
      </c>
      <c r="G368" s="84"/>
      <c r="H368" s="85"/>
      <c r="I368" s="85"/>
      <c r="J368" s="85"/>
      <c r="K368" s="85"/>
      <c r="L368" s="86"/>
    </row>
    <row r="369" spans="1:12" x14ac:dyDescent="0.2">
      <c r="A369" s="81" t="s">
        <v>2247</v>
      </c>
      <c r="B369" s="81" t="s">
        <v>1983</v>
      </c>
      <c r="C369" s="81" t="s">
        <v>2246</v>
      </c>
      <c r="D369" s="81" t="s">
        <v>3348</v>
      </c>
      <c r="E369" s="81" t="s">
        <v>2782</v>
      </c>
      <c r="F369" s="81" t="s">
        <v>2839</v>
      </c>
      <c r="G369" s="84"/>
      <c r="H369" s="85"/>
      <c r="I369" s="85"/>
      <c r="J369" s="85"/>
      <c r="K369" s="85"/>
      <c r="L369" s="86"/>
    </row>
    <row r="370" spans="1:12" x14ac:dyDescent="0.2">
      <c r="A370" s="81" t="s">
        <v>2243</v>
      </c>
      <c r="B370" s="81" t="s">
        <v>3115</v>
      </c>
      <c r="C370" s="81" t="s">
        <v>2242</v>
      </c>
      <c r="D370" s="81" t="s">
        <v>3283</v>
      </c>
      <c r="E370" s="81" t="s">
        <v>2782</v>
      </c>
      <c r="F370" s="81" t="s">
        <v>2784</v>
      </c>
      <c r="G370" s="84"/>
      <c r="H370" s="85"/>
      <c r="I370" s="85"/>
      <c r="J370" s="85"/>
      <c r="K370" s="85"/>
      <c r="L370" s="86"/>
    </row>
    <row r="371" spans="1:12" x14ac:dyDescent="0.2">
      <c r="A371" s="81" t="s">
        <v>2251</v>
      </c>
      <c r="B371" s="81" t="s">
        <v>1995</v>
      </c>
      <c r="C371" s="81" t="s">
        <v>2250</v>
      </c>
      <c r="D371" s="81" t="s">
        <v>3350</v>
      </c>
      <c r="E371" s="81" t="s">
        <v>2791</v>
      </c>
      <c r="F371" s="81" t="s">
        <v>2809</v>
      </c>
      <c r="G371" s="84"/>
      <c r="H371" s="85"/>
      <c r="I371" s="85"/>
      <c r="J371" s="85"/>
      <c r="K371" s="85"/>
      <c r="L371" s="86"/>
    </row>
    <row r="372" spans="1:12" x14ac:dyDescent="0.2">
      <c r="A372" s="81" t="s">
        <v>2245</v>
      </c>
      <c r="B372" s="81" t="s">
        <v>2231</v>
      </c>
      <c r="C372" s="81" t="s">
        <v>2244</v>
      </c>
      <c r="D372" s="81" t="s">
        <v>3207</v>
      </c>
      <c r="E372" s="81" t="s">
        <v>2782</v>
      </c>
      <c r="F372" s="81" t="s">
        <v>2784</v>
      </c>
      <c r="G372" s="84"/>
      <c r="H372" s="85"/>
      <c r="I372" s="85"/>
      <c r="J372" s="85"/>
      <c r="K372" s="85"/>
      <c r="L372" s="86"/>
    </row>
    <row r="373" spans="1:12" x14ac:dyDescent="0.2">
      <c r="A373" s="81" t="s">
        <v>1977</v>
      </c>
      <c r="B373" s="81" t="s">
        <v>1978</v>
      </c>
      <c r="C373" s="81" t="s">
        <v>1976</v>
      </c>
      <c r="D373" s="81" t="s">
        <v>3207</v>
      </c>
      <c r="E373" s="81" t="s">
        <v>2782</v>
      </c>
      <c r="F373" s="81" t="s">
        <v>2784</v>
      </c>
      <c r="G373" s="84"/>
      <c r="H373" s="85"/>
      <c r="I373" s="85"/>
      <c r="J373" s="85"/>
      <c r="K373" s="85"/>
      <c r="L373" s="86"/>
    </row>
    <row r="374" spans="1:12" x14ac:dyDescent="0.2">
      <c r="A374" s="81" t="s">
        <v>2249</v>
      </c>
      <c r="B374" s="81" t="s">
        <v>1926</v>
      </c>
      <c r="C374" s="81" t="s">
        <v>2248</v>
      </c>
      <c r="D374" s="81" t="s">
        <v>3207</v>
      </c>
      <c r="E374" s="81" t="s">
        <v>2782</v>
      </c>
      <c r="F374" s="81" t="s">
        <v>2784</v>
      </c>
      <c r="G374" s="84"/>
      <c r="H374" s="85"/>
      <c r="I374" s="85"/>
      <c r="J374" s="85"/>
      <c r="K374" s="85"/>
      <c r="L374" s="86"/>
    </row>
    <row r="375" spans="1:12" x14ac:dyDescent="0.2">
      <c r="A375" s="81" t="s">
        <v>3120</v>
      </c>
      <c r="B375" s="81" t="s">
        <v>3104</v>
      </c>
      <c r="C375" s="81" t="s">
        <v>3121</v>
      </c>
      <c r="D375" s="81" t="s">
        <v>3226</v>
      </c>
      <c r="E375" s="81" t="s">
        <v>2791</v>
      </c>
      <c r="F375" s="81" t="s">
        <v>2809</v>
      </c>
      <c r="G375" s="84"/>
      <c r="H375" s="85"/>
      <c r="I375" s="85"/>
      <c r="J375" s="85"/>
      <c r="K375" s="85"/>
      <c r="L375" s="86"/>
    </row>
    <row r="376" spans="1:12" x14ac:dyDescent="0.2">
      <c r="A376" s="81" t="s">
        <v>1986</v>
      </c>
      <c r="B376" s="81" t="s">
        <v>1987</v>
      </c>
      <c r="C376" s="81" t="s">
        <v>1985</v>
      </c>
      <c r="D376" s="81" t="s">
        <v>3222</v>
      </c>
      <c r="E376" s="81" t="s">
        <v>2791</v>
      </c>
      <c r="F376" s="81" t="s">
        <v>2764</v>
      </c>
      <c r="G376" s="84"/>
      <c r="H376" s="85"/>
      <c r="I376" s="85"/>
      <c r="J376" s="85"/>
      <c r="K376" s="85"/>
      <c r="L376" s="86"/>
    </row>
    <row r="377" spans="1:12" x14ac:dyDescent="0.2">
      <c r="A377" s="81" t="s">
        <v>1991</v>
      </c>
      <c r="B377" s="81" t="s">
        <v>1992</v>
      </c>
      <c r="C377" s="81" t="s">
        <v>1990</v>
      </c>
      <c r="D377" s="81" t="s">
        <v>3207</v>
      </c>
      <c r="E377" s="81" t="s">
        <v>2782</v>
      </c>
      <c r="F377" s="81" t="s">
        <v>2784</v>
      </c>
      <c r="G377" s="84"/>
      <c r="H377" s="85"/>
      <c r="I377" s="85"/>
      <c r="J377" s="85"/>
      <c r="K377" s="85"/>
      <c r="L377" s="86"/>
    </row>
    <row r="378" spans="1:12" x14ac:dyDescent="0.2">
      <c r="A378" s="81" t="s">
        <v>2001</v>
      </c>
      <c r="B378" s="81" t="s">
        <v>2002</v>
      </c>
      <c r="C378" s="81" t="s">
        <v>2000</v>
      </c>
      <c r="D378" s="81" t="s">
        <v>3349</v>
      </c>
      <c r="E378" s="81" t="s">
        <v>2782</v>
      </c>
      <c r="F378" s="81" t="s">
        <v>1489</v>
      </c>
      <c r="G378" s="84"/>
      <c r="H378" s="85"/>
      <c r="I378" s="85"/>
      <c r="J378" s="85"/>
      <c r="K378" s="85"/>
      <c r="L378" s="86"/>
    </row>
    <row r="379" spans="1:12" x14ac:dyDescent="0.2">
      <c r="A379" s="81" t="s">
        <v>1999</v>
      </c>
      <c r="B379" s="81" t="s">
        <v>909</v>
      </c>
      <c r="C379" s="81" t="s">
        <v>1998</v>
      </c>
      <c r="D379" s="81" t="s">
        <v>3224</v>
      </c>
      <c r="E379" s="81" t="s">
        <v>2782</v>
      </c>
      <c r="F379" s="81" t="s">
        <v>2792</v>
      </c>
      <c r="G379" s="84"/>
      <c r="H379" s="85"/>
      <c r="I379" s="85"/>
      <c r="J379" s="85"/>
      <c r="K379" s="85"/>
      <c r="L379" s="86"/>
    </row>
    <row r="380" spans="1:12" x14ac:dyDescent="0.2">
      <c r="A380" s="81" t="s">
        <v>1972</v>
      </c>
      <c r="B380" s="81" t="s">
        <v>1973</v>
      </c>
      <c r="C380" s="81" t="s">
        <v>1971</v>
      </c>
      <c r="D380" s="81" t="s">
        <v>3283</v>
      </c>
      <c r="E380" s="81" t="s">
        <v>2782</v>
      </c>
      <c r="F380" s="81" t="s">
        <v>2784</v>
      </c>
      <c r="G380" s="84"/>
      <c r="H380" s="85"/>
      <c r="I380" s="85"/>
      <c r="J380" s="85"/>
      <c r="K380" s="85"/>
      <c r="L380" s="86"/>
    </row>
    <row r="381" spans="1:12" x14ac:dyDescent="0.2">
      <c r="A381" s="81" t="s">
        <v>1982</v>
      </c>
      <c r="B381" s="81" t="s">
        <v>1983</v>
      </c>
      <c r="C381" s="81" t="s">
        <v>1981</v>
      </c>
      <c r="D381" s="81" t="s">
        <v>3348</v>
      </c>
      <c r="E381" s="81" t="s">
        <v>2782</v>
      </c>
      <c r="F381" s="81" t="s">
        <v>2839</v>
      </c>
      <c r="G381" s="84"/>
      <c r="H381" s="85"/>
      <c r="I381" s="85"/>
      <c r="J381" s="85"/>
      <c r="K381" s="85"/>
      <c r="L381" s="86"/>
    </row>
    <row r="382" spans="1:12" x14ac:dyDescent="0.2">
      <c r="A382" s="81" t="s">
        <v>1994</v>
      </c>
      <c r="B382" s="81" t="s">
        <v>1995</v>
      </c>
      <c r="C382" s="81" t="s">
        <v>1993</v>
      </c>
      <c r="D382" s="81" t="s">
        <v>3350</v>
      </c>
      <c r="E382" s="81" t="s">
        <v>2791</v>
      </c>
      <c r="F382" s="81" t="s">
        <v>2809</v>
      </c>
      <c r="G382" s="84"/>
      <c r="H382" s="85"/>
      <c r="I382" s="85"/>
      <c r="J382" s="85"/>
      <c r="K382" s="85"/>
      <c r="L382" s="86"/>
    </row>
    <row r="383" spans="1:12" x14ac:dyDescent="0.2">
      <c r="A383" s="81" t="s">
        <v>851</v>
      </c>
      <c r="B383" s="81" t="s">
        <v>852</v>
      </c>
      <c r="C383" s="81" t="s">
        <v>850</v>
      </c>
      <c r="D383" s="81" t="s">
        <v>3282</v>
      </c>
      <c r="E383" s="81" t="s">
        <v>2804</v>
      </c>
      <c r="F383" s="81" t="s">
        <v>2813</v>
      </c>
      <c r="G383" s="84"/>
      <c r="H383" s="85"/>
      <c r="I383" s="85"/>
      <c r="J383" s="85"/>
      <c r="K383" s="85"/>
      <c r="L383" s="86"/>
    </row>
    <row r="384" spans="1:12" x14ac:dyDescent="0.2">
      <c r="A384" s="81" t="s">
        <v>1685</v>
      </c>
      <c r="B384" s="81" t="s">
        <v>1686</v>
      </c>
      <c r="C384" s="81" t="s">
        <v>1684</v>
      </c>
      <c r="D384" s="81" t="s">
        <v>3351</v>
      </c>
      <c r="E384" s="81" t="s">
        <v>2834</v>
      </c>
      <c r="F384" s="81" t="s">
        <v>2840</v>
      </c>
      <c r="G384" s="84"/>
      <c r="H384" s="85"/>
      <c r="I384" s="85"/>
      <c r="J384" s="85"/>
      <c r="K384" s="85"/>
      <c r="L384" s="86"/>
    </row>
    <row r="385" spans="1:12" x14ac:dyDescent="0.2">
      <c r="A385" s="81" t="s">
        <v>2707</v>
      </c>
      <c r="B385" s="81" t="s">
        <v>2708</v>
      </c>
      <c r="C385" s="81" t="s">
        <v>2706</v>
      </c>
      <c r="D385" s="81" t="s">
        <v>3352</v>
      </c>
      <c r="E385" s="81" t="s">
        <v>2775</v>
      </c>
      <c r="F385" s="81" t="s">
        <v>2794</v>
      </c>
      <c r="G385" s="84"/>
      <c r="H385" s="85"/>
      <c r="I385" s="85"/>
      <c r="J385" s="85"/>
      <c r="K385" s="85"/>
      <c r="L385" s="86"/>
    </row>
    <row r="386" spans="1:12" x14ac:dyDescent="0.2">
      <c r="A386" s="81" t="s">
        <v>1211</v>
      </c>
      <c r="B386" s="81" t="s">
        <v>1212</v>
      </c>
      <c r="C386" s="81" t="s">
        <v>1210</v>
      </c>
      <c r="D386" s="81" t="s">
        <v>3353</v>
      </c>
      <c r="E386" s="81" t="s">
        <v>2767</v>
      </c>
      <c r="F386" s="81" t="s">
        <v>2841</v>
      </c>
      <c r="G386" s="84"/>
      <c r="H386" s="85"/>
      <c r="I386" s="85"/>
      <c r="J386" s="85"/>
      <c r="K386" s="85"/>
      <c r="L386" s="86"/>
    </row>
    <row r="387" spans="1:12" x14ac:dyDescent="0.2">
      <c r="A387" s="84" t="s">
        <v>1211</v>
      </c>
      <c r="B387" s="84" t="s">
        <v>1212</v>
      </c>
      <c r="C387" s="81" t="s">
        <v>2602</v>
      </c>
      <c r="D387" s="81" t="s">
        <v>3353</v>
      </c>
      <c r="E387" s="81" t="s">
        <v>2767</v>
      </c>
      <c r="F387" s="81" t="s">
        <v>2841</v>
      </c>
      <c r="G387" s="84"/>
      <c r="H387" s="85"/>
      <c r="I387" s="85"/>
      <c r="J387" s="85"/>
      <c r="K387" s="85"/>
      <c r="L387" s="86"/>
    </row>
    <row r="388" spans="1:12" x14ac:dyDescent="0.2">
      <c r="A388" s="81" t="s">
        <v>1226</v>
      </c>
      <c r="B388" s="81" t="s">
        <v>757</v>
      </c>
      <c r="C388" s="81" t="s">
        <v>1225</v>
      </c>
      <c r="D388" s="81" t="s">
        <v>3354</v>
      </c>
      <c r="E388" s="81" t="s">
        <v>2786</v>
      </c>
      <c r="F388" s="81" t="s">
        <v>2795</v>
      </c>
      <c r="G388" s="84"/>
      <c r="H388" s="85"/>
      <c r="I388" s="85"/>
      <c r="J388" s="85"/>
      <c r="K388" s="85"/>
      <c r="L388" s="86"/>
    </row>
    <row r="389" spans="1:12" x14ac:dyDescent="0.2">
      <c r="A389" s="81" t="s">
        <v>1222</v>
      </c>
      <c r="B389" s="81" t="s">
        <v>742</v>
      </c>
      <c r="C389" s="81" t="s">
        <v>1221</v>
      </c>
      <c r="D389" s="81" t="s">
        <v>3355</v>
      </c>
      <c r="E389" s="81" t="s">
        <v>2786</v>
      </c>
      <c r="F389" s="81" t="s">
        <v>2793</v>
      </c>
      <c r="G389" s="84"/>
      <c r="H389" s="85"/>
      <c r="I389" s="85"/>
      <c r="J389" s="85"/>
      <c r="K389" s="85"/>
      <c r="L389" s="86"/>
    </row>
    <row r="390" spans="1:12" x14ac:dyDescent="0.2">
      <c r="A390" s="81" t="s">
        <v>1220</v>
      </c>
      <c r="B390" s="81" t="s">
        <v>821</v>
      </c>
      <c r="C390" s="81" t="s">
        <v>1219</v>
      </c>
      <c r="D390" s="81" t="s">
        <v>3236</v>
      </c>
      <c r="E390" s="81" t="s">
        <v>2762</v>
      </c>
      <c r="F390" s="81" t="s">
        <v>2774</v>
      </c>
      <c r="G390" s="84"/>
      <c r="H390" s="85"/>
      <c r="I390" s="85"/>
      <c r="J390" s="85"/>
      <c r="K390" s="85"/>
      <c r="L390" s="86"/>
    </row>
    <row r="391" spans="1:12" x14ac:dyDescent="0.2">
      <c r="A391" s="81" t="s">
        <v>1218</v>
      </c>
      <c r="B391" s="81" t="s">
        <v>774</v>
      </c>
      <c r="C391" s="81" t="s">
        <v>1217</v>
      </c>
      <c r="D391" s="81" t="s">
        <v>3299</v>
      </c>
      <c r="E391" s="81" t="s">
        <v>2762</v>
      </c>
      <c r="F391" s="81" t="s">
        <v>2766</v>
      </c>
      <c r="G391" s="84"/>
      <c r="H391" s="85"/>
      <c r="I391" s="85"/>
      <c r="J391" s="85"/>
      <c r="K391" s="85"/>
      <c r="L391" s="86"/>
    </row>
    <row r="392" spans="1:12" x14ac:dyDescent="0.2">
      <c r="A392" s="81" t="s">
        <v>1224</v>
      </c>
      <c r="B392" s="81" t="s">
        <v>891</v>
      </c>
      <c r="C392" s="81" t="s">
        <v>1223</v>
      </c>
      <c r="D392" s="81" t="s">
        <v>3356</v>
      </c>
      <c r="E392" s="81" t="s">
        <v>2759</v>
      </c>
      <c r="F392" s="81" t="s">
        <v>2760</v>
      </c>
      <c r="G392" s="84"/>
      <c r="H392" s="85"/>
      <c r="I392" s="85"/>
      <c r="J392" s="85"/>
      <c r="K392" s="85"/>
      <c r="L392" s="86"/>
    </row>
    <row r="393" spans="1:12" x14ac:dyDescent="0.2">
      <c r="A393" s="81" t="s">
        <v>1216</v>
      </c>
      <c r="B393" s="81" t="s">
        <v>767</v>
      </c>
      <c r="C393" s="81" t="s">
        <v>1215</v>
      </c>
      <c r="D393" s="81" t="s">
        <v>3357</v>
      </c>
      <c r="E393" s="81" t="s">
        <v>2767</v>
      </c>
      <c r="F393" s="81" t="s">
        <v>2842</v>
      </c>
      <c r="G393" s="84"/>
      <c r="H393" s="85"/>
      <c r="I393" s="85"/>
      <c r="J393" s="85"/>
      <c r="K393" s="85"/>
      <c r="L393" s="86"/>
    </row>
    <row r="394" spans="1:12" x14ac:dyDescent="0.2">
      <c r="A394" s="84" t="s">
        <v>1216</v>
      </c>
      <c r="B394" s="81" t="s">
        <v>2604</v>
      </c>
      <c r="C394" s="81" t="s">
        <v>2603</v>
      </c>
      <c r="D394" s="81" t="s">
        <v>3357</v>
      </c>
      <c r="E394" s="81" t="s">
        <v>2767</v>
      </c>
      <c r="F394" s="81" t="s">
        <v>2842</v>
      </c>
      <c r="G394" s="84"/>
      <c r="H394" s="85"/>
      <c r="I394" s="85"/>
      <c r="J394" s="85"/>
      <c r="K394" s="85"/>
      <c r="L394" s="86"/>
    </row>
    <row r="395" spans="1:12" x14ac:dyDescent="0.2">
      <c r="A395" s="81" t="s">
        <v>726</v>
      </c>
      <c r="B395" s="81" t="s">
        <v>727</v>
      </c>
      <c r="C395" s="81" t="s">
        <v>725</v>
      </c>
      <c r="D395" s="81" t="s">
        <v>3358</v>
      </c>
      <c r="E395" s="81" t="s">
        <v>2804</v>
      </c>
      <c r="F395" s="81" t="s">
        <v>2813</v>
      </c>
      <c r="G395" s="84"/>
      <c r="H395" s="85"/>
      <c r="I395" s="85"/>
      <c r="J395" s="85"/>
      <c r="K395" s="85"/>
      <c r="L395" s="86"/>
    </row>
    <row r="396" spans="1:12" x14ac:dyDescent="0.2">
      <c r="A396" s="81" t="s">
        <v>751</v>
      </c>
      <c r="B396" s="81" t="s">
        <v>752</v>
      </c>
      <c r="C396" s="81" t="s">
        <v>750</v>
      </c>
      <c r="D396" s="81" t="s">
        <v>3359</v>
      </c>
      <c r="E396" s="81" t="s">
        <v>2791</v>
      </c>
      <c r="F396" s="81" t="s">
        <v>2824</v>
      </c>
      <c r="G396" s="84"/>
      <c r="H396" s="85"/>
      <c r="I396" s="85"/>
      <c r="J396" s="85"/>
      <c r="K396" s="85"/>
      <c r="L396" s="86"/>
    </row>
    <row r="397" spans="1:12" x14ac:dyDescent="0.2">
      <c r="A397" s="81" t="s">
        <v>756</v>
      </c>
      <c r="B397" s="81" t="s">
        <v>757</v>
      </c>
      <c r="C397" s="81" t="s">
        <v>755</v>
      </c>
      <c r="D397" s="81" t="s">
        <v>3354</v>
      </c>
      <c r="E397" s="81" t="s">
        <v>2786</v>
      </c>
      <c r="F397" s="81" t="s">
        <v>2795</v>
      </c>
      <c r="G397" s="84"/>
      <c r="H397" s="85"/>
      <c r="I397" s="85"/>
      <c r="J397" s="85"/>
      <c r="K397" s="85"/>
      <c r="L397" s="86"/>
    </row>
    <row r="398" spans="1:12" x14ac:dyDescent="0.2">
      <c r="A398" s="81" t="s">
        <v>741</v>
      </c>
      <c r="B398" s="81" t="s">
        <v>742</v>
      </c>
      <c r="C398" s="81" t="s">
        <v>740</v>
      </c>
      <c r="D398" s="81" t="s">
        <v>3355</v>
      </c>
      <c r="E398" s="81" t="s">
        <v>2786</v>
      </c>
      <c r="F398" s="81" t="s">
        <v>2793</v>
      </c>
      <c r="G398" s="84"/>
      <c r="H398" s="85"/>
      <c r="I398" s="85"/>
      <c r="J398" s="85"/>
      <c r="K398" s="85"/>
      <c r="L398" s="86"/>
    </row>
    <row r="399" spans="1:12" x14ac:dyDescent="0.2">
      <c r="A399" s="81" t="s">
        <v>746</v>
      </c>
      <c r="B399" s="81" t="s">
        <v>747</v>
      </c>
      <c r="C399" s="81" t="s">
        <v>745</v>
      </c>
      <c r="D399" s="81" t="s">
        <v>3300</v>
      </c>
      <c r="E399" s="81" t="s">
        <v>2791</v>
      </c>
      <c r="F399" s="81" t="s">
        <v>2809</v>
      </c>
      <c r="G399" s="84"/>
      <c r="H399" s="85"/>
      <c r="I399" s="85"/>
      <c r="J399" s="85"/>
      <c r="K399" s="85"/>
      <c r="L399" s="86"/>
    </row>
    <row r="400" spans="1:12" x14ac:dyDescent="0.2">
      <c r="A400" s="81" t="s">
        <v>736</v>
      </c>
      <c r="B400" s="81" t="s">
        <v>737</v>
      </c>
      <c r="C400" s="81" t="s">
        <v>735</v>
      </c>
      <c r="D400" s="81" t="s">
        <v>3360</v>
      </c>
      <c r="E400" s="81" t="s">
        <v>2791</v>
      </c>
      <c r="F400" s="81" t="s">
        <v>2812</v>
      </c>
      <c r="G400" s="84"/>
      <c r="H400" s="85"/>
      <c r="I400" s="85"/>
      <c r="J400" s="85"/>
      <c r="K400" s="85"/>
      <c r="L400" s="86"/>
    </row>
    <row r="401" spans="1:12" x14ac:dyDescent="0.2">
      <c r="A401" s="81" t="s">
        <v>731</v>
      </c>
      <c r="B401" s="81" t="s">
        <v>732</v>
      </c>
      <c r="C401" s="81" t="s">
        <v>730</v>
      </c>
      <c r="D401" s="81" t="s">
        <v>3361</v>
      </c>
      <c r="E401" s="81" t="s">
        <v>2762</v>
      </c>
      <c r="F401" s="81" t="s">
        <v>2763</v>
      </c>
      <c r="G401" s="84"/>
      <c r="H401" s="85"/>
      <c r="I401" s="85"/>
      <c r="J401" s="85"/>
      <c r="K401" s="85"/>
      <c r="L401" s="86"/>
    </row>
    <row r="402" spans="1:12" x14ac:dyDescent="0.2">
      <c r="A402" s="81" t="s">
        <v>872</v>
      </c>
      <c r="B402" s="81" t="s">
        <v>727</v>
      </c>
      <c r="C402" s="81" t="s">
        <v>871</v>
      </c>
      <c r="D402" s="81" t="s">
        <v>3358</v>
      </c>
      <c r="E402" s="81" t="s">
        <v>2804</v>
      </c>
      <c r="F402" s="81" t="s">
        <v>2813</v>
      </c>
      <c r="G402" s="84"/>
      <c r="H402" s="85"/>
      <c r="I402" s="85"/>
      <c r="J402" s="85"/>
      <c r="K402" s="85"/>
      <c r="L402" s="86"/>
    </row>
    <row r="403" spans="1:12" x14ac:dyDescent="0.2">
      <c r="A403" s="81" t="s">
        <v>903</v>
      </c>
      <c r="B403" s="81" t="s">
        <v>904</v>
      </c>
      <c r="C403" s="81" t="s">
        <v>902</v>
      </c>
      <c r="D403" s="81" t="s">
        <v>3359</v>
      </c>
      <c r="E403" s="81" t="s">
        <v>2791</v>
      </c>
      <c r="F403" s="81" t="s">
        <v>2824</v>
      </c>
      <c r="G403" s="84"/>
      <c r="H403" s="85"/>
      <c r="I403" s="85"/>
      <c r="J403" s="85"/>
      <c r="K403" s="85"/>
      <c r="L403" s="86"/>
    </row>
    <row r="404" spans="1:12" x14ac:dyDescent="0.2">
      <c r="A404" s="81" t="s">
        <v>906</v>
      </c>
      <c r="B404" s="81" t="s">
        <v>757</v>
      </c>
      <c r="C404" s="81" t="s">
        <v>905</v>
      </c>
      <c r="D404" s="81" t="s">
        <v>3354</v>
      </c>
      <c r="E404" s="81" t="s">
        <v>2786</v>
      </c>
      <c r="F404" s="81" t="s">
        <v>2795</v>
      </c>
      <c r="G404" s="84"/>
      <c r="H404" s="85"/>
      <c r="I404" s="85"/>
      <c r="J404" s="85"/>
      <c r="K404" s="85"/>
      <c r="L404" s="86"/>
    </row>
    <row r="405" spans="1:12" x14ac:dyDescent="0.2">
      <c r="A405" s="81" t="s">
        <v>890</v>
      </c>
      <c r="B405" s="81" t="s">
        <v>891</v>
      </c>
      <c r="C405" s="81" t="s">
        <v>889</v>
      </c>
      <c r="D405" s="81" t="s">
        <v>3356</v>
      </c>
      <c r="E405" s="81" t="s">
        <v>2759</v>
      </c>
      <c r="F405" s="81" t="s">
        <v>2760</v>
      </c>
      <c r="G405" s="84"/>
      <c r="H405" s="85"/>
      <c r="I405" s="85"/>
      <c r="J405" s="85"/>
      <c r="K405" s="85"/>
      <c r="L405" s="86"/>
    </row>
    <row r="406" spans="1:12" x14ac:dyDescent="0.2">
      <c r="A406" s="81" t="s">
        <v>888</v>
      </c>
      <c r="B406" s="81" t="s">
        <v>742</v>
      </c>
      <c r="C406" s="81" t="s">
        <v>887</v>
      </c>
      <c r="D406" s="81" t="s">
        <v>3355</v>
      </c>
      <c r="E406" s="81" t="s">
        <v>2786</v>
      </c>
      <c r="F406" s="81" t="s">
        <v>2793</v>
      </c>
      <c r="G406" s="84"/>
      <c r="H406" s="85"/>
      <c r="I406" s="85"/>
      <c r="J406" s="85"/>
      <c r="K406" s="85"/>
      <c r="L406" s="86"/>
    </row>
    <row r="407" spans="1:12" x14ac:dyDescent="0.2">
      <c r="A407" s="81" t="s">
        <v>895</v>
      </c>
      <c r="B407" s="81" t="s">
        <v>896</v>
      </c>
      <c r="C407" s="81" t="s">
        <v>894</v>
      </c>
      <c r="D407" s="81" t="s">
        <v>3362</v>
      </c>
      <c r="E407" s="81" t="s">
        <v>2762</v>
      </c>
      <c r="F407" s="81" t="s">
        <v>2764</v>
      </c>
      <c r="G407" s="84"/>
      <c r="H407" s="85"/>
      <c r="I407" s="85"/>
      <c r="J407" s="85"/>
      <c r="K407" s="85"/>
      <c r="L407" s="86"/>
    </row>
    <row r="408" spans="1:12" x14ac:dyDescent="0.2">
      <c r="A408" s="81" t="s">
        <v>901</v>
      </c>
      <c r="B408" s="81" t="s">
        <v>747</v>
      </c>
      <c r="C408" s="81" t="s">
        <v>900</v>
      </c>
      <c r="D408" s="81" t="s">
        <v>3300</v>
      </c>
      <c r="E408" s="81" t="s">
        <v>2791</v>
      </c>
      <c r="F408" s="81" t="s">
        <v>2809</v>
      </c>
      <c r="G408" s="84"/>
      <c r="H408" s="85"/>
      <c r="I408" s="85"/>
      <c r="J408" s="85"/>
      <c r="K408" s="85"/>
      <c r="L408" s="86"/>
    </row>
    <row r="409" spans="1:12" x14ac:dyDescent="0.2">
      <c r="A409" s="81" t="s">
        <v>883</v>
      </c>
      <c r="B409" s="81" t="s">
        <v>884</v>
      </c>
      <c r="C409" s="81" t="s">
        <v>882</v>
      </c>
      <c r="D409" s="81" t="s">
        <v>3191</v>
      </c>
      <c r="E409" s="81" t="s">
        <v>2762</v>
      </c>
      <c r="F409" s="81" t="s">
        <v>2766</v>
      </c>
      <c r="G409" s="84"/>
      <c r="H409" s="85"/>
      <c r="I409" s="85"/>
      <c r="J409" s="85"/>
      <c r="K409" s="85"/>
      <c r="L409" s="86"/>
    </row>
    <row r="410" spans="1:12" x14ac:dyDescent="0.2">
      <c r="A410" s="81" t="s">
        <v>881</v>
      </c>
      <c r="B410" s="81" t="s">
        <v>737</v>
      </c>
      <c r="C410" s="81" t="s">
        <v>880</v>
      </c>
      <c r="D410" s="81" t="s">
        <v>3360</v>
      </c>
      <c r="E410" s="81" t="s">
        <v>2791</v>
      </c>
      <c r="F410" s="81" t="s">
        <v>2812</v>
      </c>
      <c r="G410" s="84"/>
      <c r="H410" s="85"/>
      <c r="I410" s="85"/>
      <c r="J410" s="85"/>
      <c r="K410" s="85"/>
      <c r="L410" s="86"/>
    </row>
    <row r="411" spans="1:12" x14ac:dyDescent="0.2">
      <c r="A411" s="81" t="s">
        <v>874</v>
      </c>
      <c r="B411" s="81" t="s">
        <v>767</v>
      </c>
      <c r="C411" s="81" t="s">
        <v>873</v>
      </c>
      <c r="D411" s="81" t="s">
        <v>3357</v>
      </c>
      <c r="E411" s="81" t="s">
        <v>2767</v>
      </c>
      <c r="F411" s="81" t="s">
        <v>2842</v>
      </c>
      <c r="G411" s="84"/>
      <c r="H411" s="85"/>
      <c r="I411" s="85"/>
      <c r="J411" s="85"/>
      <c r="K411" s="85"/>
      <c r="L411" s="86"/>
    </row>
    <row r="412" spans="1:12" x14ac:dyDescent="0.2">
      <c r="A412" s="81" t="s">
        <v>876</v>
      </c>
      <c r="B412" s="81" t="s">
        <v>732</v>
      </c>
      <c r="C412" s="81" t="s">
        <v>875</v>
      </c>
      <c r="D412" s="81" t="s">
        <v>3361</v>
      </c>
      <c r="E412" s="81" t="s">
        <v>2762</v>
      </c>
      <c r="F412" s="81" t="s">
        <v>2763</v>
      </c>
      <c r="G412" s="84"/>
      <c r="H412" s="85"/>
      <c r="I412" s="85"/>
      <c r="J412" s="85"/>
      <c r="K412" s="85"/>
      <c r="L412" s="86"/>
    </row>
    <row r="413" spans="1:12" x14ac:dyDescent="0.2">
      <c r="A413" s="81" t="s">
        <v>879</v>
      </c>
      <c r="B413" s="81" t="s">
        <v>774</v>
      </c>
      <c r="C413" s="81" t="s">
        <v>878</v>
      </c>
      <c r="D413" s="81" t="s">
        <v>3299</v>
      </c>
      <c r="E413" s="81" t="s">
        <v>2762</v>
      </c>
      <c r="F413" s="81" t="s">
        <v>2766</v>
      </c>
      <c r="G413" s="84"/>
      <c r="H413" s="85"/>
      <c r="I413" s="85"/>
      <c r="J413" s="85"/>
      <c r="K413" s="85"/>
      <c r="L413" s="86"/>
    </row>
    <row r="414" spans="1:12" x14ac:dyDescent="0.2">
      <c r="A414" s="81" t="s">
        <v>908</v>
      </c>
      <c r="B414" s="81" t="s">
        <v>909</v>
      </c>
      <c r="C414" s="81" t="s">
        <v>907</v>
      </c>
      <c r="D414" s="81" t="s">
        <v>3224</v>
      </c>
      <c r="E414" s="81" t="s">
        <v>2782</v>
      </c>
      <c r="F414" s="81" t="s">
        <v>2792</v>
      </c>
      <c r="G414" s="84"/>
      <c r="H414" s="85"/>
      <c r="I414" s="85"/>
      <c r="J414" s="85"/>
      <c r="K414" s="85"/>
      <c r="L414" s="86"/>
    </row>
    <row r="415" spans="1:12" x14ac:dyDescent="0.2">
      <c r="A415" s="81" t="s">
        <v>1657</v>
      </c>
      <c r="B415" s="81" t="s">
        <v>1658</v>
      </c>
      <c r="C415" s="81" t="s">
        <v>1656</v>
      </c>
      <c r="D415" s="81" t="s">
        <v>3363</v>
      </c>
      <c r="E415" s="81" t="s">
        <v>2834</v>
      </c>
      <c r="F415" s="81" t="s">
        <v>2843</v>
      </c>
      <c r="G415" s="84"/>
      <c r="H415" s="85"/>
      <c r="I415" s="85"/>
      <c r="J415" s="85"/>
      <c r="K415" s="85"/>
      <c r="L415" s="86"/>
    </row>
    <row r="416" spans="1:12" x14ac:dyDescent="0.2">
      <c r="A416" s="81" t="s">
        <v>1616</v>
      </c>
      <c r="B416" s="81" t="s">
        <v>1617</v>
      </c>
      <c r="C416" s="81" t="s">
        <v>1615</v>
      </c>
      <c r="D416" s="81" t="s">
        <v>3364</v>
      </c>
      <c r="E416" s="81" t="s">
        <v>2834</v>
      </c>
      <c r="F416" s="81" t="s">
        <v>2844</v>
      </c>
      <c r="G416" s="84"/>
      <c r="H416" s="85"/>
      <c r="I416" s="85"/>
      <c r="J416" s="85"/>
      <c r="K416" s="85"/>
      <c r="L416" s="86"/>
    </row>
    <row r="417" spans="1:12" x14ac:dyDescent="0.2">
      <c r="A417" s="84" t="s">
        <v>1616</v>
      </c>
      <c r="B417" s="81" t="s">
        <v>2688</v>
      </c>
      <c r="C417" s="81" t="s">
        <v>2687</v>
      </c>
      <c r="D417" s="81" t="s">
        <v>3364</v>
      </c>
      <c r="E417" s="81" t="s">
        <v>2834</v>
      </c>
      <c r="F417" s="81" t="s">
        <v>2844</v>
      </c>
      <c r="G417" s="84"/>
      <c r="H417" s="85"/>
      <c r="I417" s="85"/>
      <c r="J417" s="85"/>
      <c r="K417" s="85"/>
      <c r="L417" s="86"/>
    </row>
    <row r="418" spans="1:12" x14ac:dyDescent="0.2">
      <c r="A418" s="81" t="s">
        <v>1625</v>
      </c>
      <c r="B418" s="81" t="s">
        <v>757</v>
      </c>
      <c r="C418" s="81" t="s">
        <v>1624</v>
      </c>
      <c r="D418" s="81" t="s">
        <v>3354</v>
      </c>
      <c r="E418" s="81" t="s">
        <v>2786</v>
      </c>
      <c r="F418" s="81" t="s">
        <v>2795</v>
      </c>
      <c r="G418" s="84"/>
      <c r="H418" s="85"/>
      <c r="I418" s="85"/>
      <c r="J418" s="85"/>
      <c r="K418" s="85"/>
      <c r="L418" s="86"/>
    </row>
    <row r="419" spans="1:12" x14ac:dyDescent="0.2">
      <c r="A419" s="81" t="s">
        <v>1621</v>
      </c>
      <c r="B419" s="81" t="s">
        <v>774</v>
      </c>
      <c r="C419" s="81" t="s">
        <v>1620</v>
      </c>
      <c r="D419" s="81" t="s">
        <v>3299</v>
      </c>
      <c r="E419" s="81" t="s">
        <v>2762</v>
      </c>
      <c r="F419" s="81" t="s">
        <v>2766</v>
      </c>
      <c r="G419" s="84"/>
      <c r="H419" s="85"/>
      <c r="I419" s="85"/>
      <c r="J419" s="85"/>
      <c r="K419" s="85"/>
      <c r="L419" s="86"/>
    </row>
    <row r="420" spans="1:12" x14ac:dyDescent="0.2">
      <c r="A420" s="81" t="s">
        <v>1623</v>
      </c>
      <c r="B420" s="81" t="s">
        <v>891</v>
      </c>
      <c r="C420" s="81" t="s">
        <v>1622</v>
      </c>
      <c r="D420" s="81" t="s">
        <v>3356</v>
      </c>
      <c r="E420" s="81" t="s">
        <v>2759</v>
      </c>
      <c r="F420" s="81" t="s">
        <v>2760</v>
      </c>
      <c r="G420" s="84"/>
      <c r="H420" s="85"/>
      <c r="I420" s="85"/>
      <c r="J420" s="85"/>
      <c r="K420" s="85"/>
      <c r="L420" s="86"/>
    </row>
    <row r="421" spans="1:12" x14ac:dyDescent="0.2">
      <c r="A421" s="81" t="s">
        <v>798</v>
      </c>
      <c r="B421" s="81" t="s">
        <v>799</v>
      </c>
      <c r="C421" s="81" t="s">
        <v>797</v>
      </c>
      <c r="D421" s="81" t="s">
        <v>3365</v>
      </c>
      <c r="E421" s="81" t="s">
        <v>2804</v>
      </c>
      <c r="F421" s="81" t="s">
        <v>2845</v>
      </c>
      <c r="G421" s="84"/>
      <c r="H421" s="85"/>
      <c r="I421" s="85"/>
      <c r="J421" s="85"/>
      <c r="K421" s="85"/>
      <c r="L421" s="86"/>
    </row>
    <row r="422" spans="1:12" x14ac:dyDescent="0.2">
      <c r="A422" s="81" t="s">
        <v>761</v>
      </c>
      <c r="B422" s="81" t="s">
        <v>762</v>
      </c>
      <c r="C422" s="81" t="s">
        <v>760</v>
      </c>
      <c r="D422" s="81" t="s">
        <v>3366</v>
      </c>
      <c r="E422" s="81" t="s">
        <v>2804</v>
      </c>
      <c r="F422" s="81" t="s">
        <v>2846</v>
      </c>
      <c r="G422" s="84"/>
      <c r="H422" s="85"/>
      <c r="I422" s="85"/>
      <c r="J422" s="85"/>
      <c r="K422" s="85"/>
      <c r="L422" s="86"/>
    </row>
    <row r="423" spans="1:12" x14ac:dyDescent="0.2">
      <c r="A423" s="81" t="s">
        <v>771</v>
      </c>
      <c r="B423" s="81" t="s">
        <v>732</v>
      </c>
      <c r="C423" s="81" t="s">
        <v>770</v>
      </c>
      <c r="D423" s="81" t="s">
        <v>3367</v>
      </c>
      <c r="E423" s="81" t="s">
        <v>2762</v>
      </c>
      <c r="F423" s="81" t="s">
        <v>2763</v>
      </c>
      <c r="G423" s="84"/>
      <c r="H423" s="85"/>
      <c r="I423" s="85"/>
      <c r="J423" s="85"/>
      <c r="K423" s="85"/>
      <c r="L423" s="86"/>
    </row>
    <row r="424" spans="1:12" x14ac:dyDescent="0.2">
      <c r="A424" s="81" t="s">
        <v>773</v>
      </c>
      <c r="B424" s="81" t="s">
        <v>774</v>
      </c>
      <c r="C424" s="81" t="s">
        <v>772</v>
      </c>
      <c r="D424" s="81" t="s">
        <v>3299</v>
      </c>
      <c r="E424" s="81" t="s">
        <v>2762</v>
      </c>
      <c r="F424" s="81" t="s">
        <v>2766</v>
      </c>
      <c r="G424" s="84"/>
      <c r="H424" s="85"/>
      <c r="I424" s="85"/>
      <c r="J424" s="85"/>
      <c r="K424" s="85"/>
      <c r="L424" s="86"/>
    </row>
    <row r="425" spans="1:12" x14ac:dyDescent="0.2">
      <c r="A425" s="81" t="s">
        <v>766</v>
      </c>
      <c r="B425" s="81" t="s">
        <v>767</v>
      </c>
      <c r="C425" s="81" t="s">
        <v>765</v>
      </c>
      <c r="D425" s="81" t="s">
        <v>3357</v>
      </c>
      <c r="E425" s="81" t="s">
        <v>2767</v>
      </c>
      <c r="F425" s="81" t="s">
        <v>2842</v>
      </c>
      <c r="G425" s="84"/>
      <c r="H425" s="85"/>
      <c r="I425" s="85"/>
      <c r="J425" s="85"/>
      <c r="K425" s="85"/>
      <c r="L425" s="86"/>
    </row>
    <row r="426" spans="1:12" x14ac:dyDescent="0.2">
      <c r="A426" s="81" t="s">
        <v>778</v>
      </c>
      <c r="B426" s="81" t="s">
        <v>779</v>
      </c>
      <c r="C426" s="81" t="s">
        <v>777</v>
      </c>
      <c r="D426" s="81" t="s">
        <v>3368</v>
      </c>
      <c r="E426" s="81" t="s">
        <v>2804</v>
      </c>
      <c r="F426" s="81" t="s">
        <v>2805</v>
      </c>
      <c r="G426" s="84"/>
      <c r="H426" s="85"/>
      <c r="I426" s="85"/>
      <c r="J426" s="85"/>
      <c r="K426" s="85"/>
      <c r="L426" s="86"/>
    </row>
    <row r="427" spans="1:12" x14ac:dyDescent="0.2">
      <c r="A427" s="84" t="s">
        <v>778</v>
      </c>
      <c r="B427" s="84" t="s">
        <v>779</v>
      </c>
      <c r="C427" s="81" t="s">
        <v>2581</v>
      </c>
      <c r="D427" s="81" t="s">
        <v>3368</v>
      </c>
      <c r="E427" s="81" t="s">
        <v>2804</v>
      </c>
      <c r="F427" s="81" t="s">
        <v>2805</v>
      </c>
      <c r="G427" s="84"/>
      <c r="H427" s="85"/>
      <c r="I427" s="85"/>
      <c r="J427" s="85"/>
      <c r="K427" s="85"/>
      <c r="L427" s="86"/>
    </row>
    <row r="428" spans="1:12" x14ac:dyDescent="0.2">
      <c r="A428" s="81" t="s">
        <v>2408</v>
      </c>
      <c r="B428" s="81" t="s">
        <v>1354</v>
      </c>
      <c r="C428" s="81" t="s">
        <v>2407</v>
      </c>
      <c r="D428" s="81" t="s">
        <v>3332</v>
      </c>
      <c r="E428" s="81" t="s">
        <v>2762</v>
      </c>
      <c r="F428" s="81" t="s">
        <v>2763</v>
      </c>
      <c r="G428" s="84"/>
      <c r="H428" s="85"/>
      <c r="I428" s="85"/>
      <c r="J428" s="85"/>
      <c r="K428" s="85"/>
      <c r="L428" s="86"/>
    </row>
    <row r="429" spans="1:12" x14ac:dyDescent="0.2">
      <c r="A429" s="81" t="s">
        <v>2410</v>
      </c>
      <c r="B429" s="81" t="s">
        <v>2411</v>
      </c>
      <c r="C429" s="81" t="s">
        <v>2409</v>
      </c>
      <c r="D429" s="81" t="s">
        <v>3299</v>
      </c>
      <c r="E429" s="81" t="s">
        <v>2775</v>
      </c>
      <c r="F429" s="81" t="s">
        <v>2766</v>
      </c>
      <c r="G429" s="84"/>
      <c r="H429" s="85"/>
      <c r="I429" s="85"/>
      <c r="J429" s="85"/>
      <c r="K429" s="85"/>
      <c r="L429" s="86"/>
    </row>
    <row r="430" spans="1:12" x14ac:dyDescent="0.2">
      <c r="A430" s="81" t="s">
        <v>2416</v>
      </c>
      <c r="B430" s="81" t="s">
        <v>2417</v>
      </c>
      <c r="C430" s="81" t="s">
        <v>2415</v>
      </c>
      <c r="D430" s="81" t="s">
        <v>3355</v>
      </c>
      <c r="E430" s="81" t="s">
        <v>2786</v>
      </c>
      <c r="F430" s="81" t="s">
        <v>2793</v>
      </c>
      <c r="G430" s="84"/>
      <c r="H430" s="85"/>
      <c r="I430" s="85"/>
      <c r="J430" s="85"/>
      <c r="K430" s="85"/>
      <c r="L430" s="86"/>
    </row>
    <row r="431" spans="1:12" x14ac:dyDescent="0.2">
      <c r="A431" s="81" t="s">
        <v>2413</v>
      </c>
      <c r="B431" s="81" t="s">
        <v>2414</v>
      </c>
      <c r="C431" s="81" t="s">
        <v>2412</v>
      </c>
      <c r="D431" s="81" t="s">
        <v>3360</v>
      </c>
      <c r="E431" s="81" t="s">
        <v>2791</v>
      </c>
      <c r="F431" s="81" t="s">
        <v>2812</v>
      </c>
      <c r="G431" s="84"/>
      <c r="H431" s="85"/>
      <c r="I431" s="85"/>
      <c r="J431" s="85"/>
      <c r="K431" s="85"/>
      <c r="L431" s="86"/>
    </row>
    <row r="432" spans="1:12" x14ac:dyDescent="0.2">
      <c r="A432" s="81" t="s">
        <v>2405</v>
      </c>
      <c r="B432" s="81" t="s">
        <v>2406</v>
      </c>
      <c r="C432" s="81" t="s">
        <v>2404</v>
      </c>
      <c r="D432" s="81" t="s">
        <v>3357</v>
      </c>
      <c r="E432" s="81" t="s">
        <v>2767</v>
      </c>
      <c r="F432" s="81" t="s">
        <v>2842</v>
      </c>
      <c r="G432" s="84"/>
      <c r="H432" s="85"/>
      <c r="I432" s="85"/>
      <c r="J432" s="85"/>
      <c r="K432" s="85"/>
      <c r="L432" s="86"/>
    </row>
    <row r="433" spans="1:12" x14ac:dyDescent="0.2">
      <c r="A433" s="81" t="s">
        <v>1637</v>
      </c>
      <c r="B433" s="81" t="s">
        <v>1638</v>
      </c>
      <c r="C433" s="81" t="s">
        <v>1636</v>
      </c>
      <c r="D433" s="81" t="s">
        <v>3369</v>
      </c>
      <c r="E433" s="81" t="s">
        <v>2834</v>
      </c>
      <c r="F433" s="81" t="s">
        <v>2757</v>
      </c>
      <c r="G433" s="84"/>
      <c r="H433" s="85"/>
      <c r="I433" s="85"/>
      <c r="J433" s="85"/>
      <c r="K433" s="85"/>
      <c r="L433" s="86"/>
    </row>
    <row r="434" spans="1:12" x14ac:dyDescent="0.2">
      <c r="A434" s="84" t="s">
        <v>1637</v>
      </c>
      <c r="B434" s="84" t="s">
        <v>1638</v>
      </c>
      <c r="C434" s="81" t="s">
        <v>2691</v>
      </c>
      <c r="D434" s="81" t="s">
        <v>3369</v>
      </c>
      <c r="E434" s="81" t="s">
        <v>2834</v>
      </c>
      <c r="F434" s="81" t="s">
        <v>2757</v>
      </c>
      <c r="G434" s="84"/>
      <c r="H434" s="85"/>
      <c r="I434" s="85"/>
      <c r="J434" s="85"/>
      <c r="K434" s="85"/>
      <c r="L434" s="86"/>
    </row>
    <row r="435" spans="1:12" x14ac:dyDescent="0.2">
      <c r="A435" s="81" t="s">
        <v>783</v>
      </c>
      <c r="B435" s="81" t="s">
        <v>784</v>
      </c>
      <c r="C435" s="81" t="s">
        <v>782</v>
      </c>
      <c r="D435" s="81" t="s">
        <v>3370</v>
      </c>
      <c r="E435" s="81" t="s">
        <v>2804</v>
      </c>
      <c r="F435" s="81" t="s">
        <v>2847</v>
      </c>
      <c r="G435" s="84"/>
      <c r="H435" s="85"/>
      <c r="I435" s="85"/>
      <c r="J435" s="85"/>
      <c r="K435" s="85"/>
      <c r="L435" s="86"/>
    </row>
    <row r="436" spans="1:12" x14ac:dyDescent="0.2">
      <c r="A436" s="81" t="s">
        <v>867</v>
      </c>
      <c r="B436" s="81" t="s">
        <v>868</v>
      </c>
      <c r="C436" s="81" t="s">
        <v>866</v>
      </c>
      <c r="D436" s="81" t="s">
        <v>3371</v>
      </c>
      <c r="E436" s="81" t="s">
        <v>2804</v>
      </c>
      <c r="F436" s="81" t="s">
        <v>2847</v>
      </c>
      <c r="G436" s="84"/>
      <c r="H436" s="85"/>
      <c r="I436" s="85"/>
      <c r="J436" s="85"/>
      <c r="K436" s="85"/>
      <c r="L436" s="86"/>
    </row>
    <row r="437" spans="1:12" x14ac:dyDescent="0.2">
      <c r="A437" s="81" t="s">
        <v>2456</v>
      </c>
      <c r="B437" s="81" t="s">
        <v>2411</v>
      </c>
      <c r="C437" s="81" t="s">
        <v>2455</v>
      </c>
      <c r="D437" s="81" t="s">
        <v>3299</v>
      </c>
      <c r="E437" s="81" t="s">
        <v>2762</v>
      </c>
      <c r="F437" s="81" t="s">
        <v>2766</v>
      </c>
      <c r="G437" s="84"/>
      <c r="H437" s="85"/>
      <c r="I437" s="85"/>
      <c r="J437" s="85"/>
      <c r="K437" s="85"/>
      <c r="L437" s="86"/>
    </row>
    <row r="438" spans="1:12" x14ac:dyDescent="0.2">
      <c r="A438" s="81" t="s">
        <v>2454</v>
      </c>
      <c r="B438" s="81" t="s">
        <v>1354</v>
      </c>
      <c r="C438" s="81" t="s">
        <v>2453</v>
      </c>
      <c r="D438" s="81" t="s">
        <v>3332</v>
      </c>
      <c r="E438" s="81" t="s">
        <v>2762</v>
      </c>
      <c r="F438" s="81" t="s">
        <v>2763</v>
      </c>
      <c r="G438" s="84"/>
      <c r="H438" s="85"/>
      <c r="I438" s="85"/>
      <c r="J438" s="85"/>
      <c r="K438" s="85"/>
      <c r="L438" s="86"/>
    </row>
    <row r="439" spans="1:12" x14ac:dyDescent="0.2">
      <c r="A439" s="81" t="s">
        <v>2460</v>
      </c>
      <c r="B439" s="81" t="s">
        <v>2417</v>
      </c>
      <c r="C439" s="81" t="s">
        <v>2459</v>
      </c>
      <c r="D439" s="81" t="s">
        <v>3355</v>
      </c>
      <c r="E439" s="81" t="s">
        <v>2786</v>
      </c>
      <c r="F439" s="81" t="s">
        <v>2793</v>
      </c>
      <c r="G439" s="84"/>
      <c r="H439" s="85"/>
      <c r="I439" s="85"/>
      <c r="J439" s="85"/>
      <c r="K439" s="85"/>
      <c r="L439" s="86"/>
    </row>
    <row r="440" spans="1:12" x14ac:dyDescent="0.2">
      <c r="A440" s="81" t="s">
        <v>2451</v>
      </c>
      <c r="B440" s="81" t="s">
        <v>2452</v>
      </c>
      <c r="C440" s="81" t="s">
        <v>2450</v>
      </c>
      <c r="D440" s="81" t="s">
        <v>3357</v>
      </c>
      <c r="E440" s="81" t="s">
        <v>2767</v>
      </c>
      <c r="F440" s="81" t="s">
        <v>2842</v>
      </c>
      <c r="G440" s="84"/>
      <c r="H440" s="85"/>
      <c r="I440" s="85"/>
      <c r="J440" s="85"/>
      <c r="K440" s="85"/>
      <c r="L440" s="86"/>
    </row>
    <row r="441" spans="1:12" x14ac:dyDescent="0.2">
      <c r="A441" s="81" t="s">
        <v>2458</v>
      </c>
      <c r="B441" s="81" t="s">
        <v>2414</v>
      </c>
      <c r="C441" s="81" t="s">
        <v>2457</v>
      </c>
      <c r="D441" s="81" t="s">
        <v>3360</v>
      </c>
      <c r="E441" s="81" t="s">
        <v>2791</v>
      </c>
      <c r="F441" s="81" t="s">
        <v>2812</v>
      </c>
      <c r="G441" s="84"/>
      <c r="H441" s="85"/>
      <c r="I441" s="85"/>
      <c r="J441" s="85"/>
      <c r="K441" s="85"/>
      <c r="L441" s="86"/>
    </row>
    <row r="442" spans="1:12" x14ac:dyDescent="0.2">
      <c r="A442" s="81" t="s">
        <v>1756</v>
      </c>
      <c r="B442" s="81" t="s">
        <v>1757</v>
      </c>
      <c r="C442" s="81" t="s">
        <v>1755</v>
      </c>
      <c r="D442" s="81" t="s">
        <v>3372</v>
      </c>
      <c r="E442" s="81" t="s">
        <v>2775</v>
      </c>
      <c r="F442" s="81" t="s">
        <v>2796</v>
      </c>
      <c r="G442" s="84"/>
      <c r="H442" s="85"/>
      <c r="I442" s="85"/>
      <c r="J442" s="85"/>
      <c r="K442" s="85"/>
      <c r="L442" s="86"/>
    </row>
    <row r="443" spans="1:12" x14ac:dyDescent="0.2">
      <c r="A443" s="81" t="s">
        <v>1250</v>
      </c>
      <c r="B443" s="81" t="s">
        <v>1251</v>
      </c>
      <c r="C443" s="81" t="s">
        <v>1249</v>
      </c>
      <c r="D443" s="81" t="s">
        <v>3373</v>
      </c>
      <c r="E443" s="81" t="s">
        <v>2762</v>
      </c>
      <c r="F443" s="81" t="s">
        <v>2790</v>
      </c>
      <c r="G443" s="84"/>
      <c r="H443" s="85"/>
      <c r="I443" s="85"/>
      <c r="J443" s="85"/>
      <c r="K443" s="85"/>
      <c r="L443" s="86"/>
    </row>
    <row r="444" spans="1:12" x14ac:dyDescent="0.2">
      <c r="A444" s="81" t="s">
        <v>1293</v>
      </c>
      <c r="B444" s="81" t="s">
        <v>1294</v>
      </c>
      <c r="C444" s="81" t="s">
        <v>1292</v>
      </c>
      <c r="D444" s="81" t="s">
        <v>3374</v>
      </c>
      <c r="E444" s="81" t="s">
        <v>2762</v>
      </c>
      <c r="F444" s="81" t="s">
        <v>2815</v>
      </c>
      <c r="G444" s="84"/>
      <c r="H444" s="85"/>
      <c r="I444" s="85"/>
      <c r="J444" s="85"/>
      <c r="K444" s="85"/>
      <c r="L444" s="86"/>
    </row>
    <row r="445" spans="1:12" x14ac:dyDescent="0.2">
      <c r="A445" s="81" t="s">
        <v>1950</v>
      </c>
      <c r="B445" s="81" t="s">
        <v>1951</v>
      </c>
      <c r="C445" s="81" t="s">
        <v>1949</v>
      </c>
      <c r="D445" s="81" t="s">
        <v>3320</v>
      </c>
      <c r="E445" s="81" t="s">
        <v>2770</v>
      </c>
      <c r="F445" s="81" t="s">
        <v>2764</v>
      </c>
      <c r="G445" s="84"/>
      <c r="H445" s="85"/>
      <c r="I445" s="85"/>
      <c r="J445" s="85"/>
      <c r="K445" s="85"/>
      <c r="L445" s="86"/>
    </row>
    <row r="446" spans="1:12" x14ac:dyDescent="0.2">
      <c r="A446" s="84" t="s">
        <v>1950</v>
      </c>
      <c r="B446" s="84" t="s">
        <v>1951</v>
      </c>
      <c r="C446" s="81" t="s">
        <v>2717</v>
      </c>
      <c r="D446" s="81" t="s">
        <v>3320</v>
      </c>
      <c r="E446" s="81" t="s">
        <v>2770</v>
      </c>
      <c r="F446" s="81" t="s">
        <v>2764</v>
      </c>
      <c r="G446" s="84"/>
      <c r="H446" s="85"/>
      <c r="I446" s="85"/>
      <c r="J446" s="85"/>
      <c r="K446" s="85"/>
      <c r="L446" s="86"/>
    </row>
    <row r="447" spans="1:12" x14ac:dyDescent="0.2">
      <c r="A447" s="81" t="s">
        <v>1857</v>
      </c>
      <c r="B447" s="81" t="s">
        <v>1858</v>
      </c>
      <c r="C447" s="81" t="s">
        <v>1856</v>
      </c>
      <c r="D447" s="81" t="s">
        <v>3375</v>
      </c>
      <c r="E447" s="81" t="s">
        <v>2770</v>
      </c>
      <c r="F447" s="81" t="s">
        <v>2828</v>
      </c>
      <c r="G447" s="84"/>
      <c r="H447" s="85"/>
      <c r="I447" s="85"/>
      <c r="J447" s="85"/>
      <c r="K447" s="85"/>
      <c r="L447" s="86"/>
    </row>
    <row r="448" spans="1:12" x14ac:dyDescent="0.2">
      <c r="A448" s="81" t="s">
        <v>2133</v>
      </c>
      <c r="B448" s="81" t="s">
        <v>2134</v>
      </c>
      <c r="C448" s="81" t="s">
        <v>2132</v>
      </c>
      <c r="D448" s="81" t="s">
        <v>3248</v>
      </c>
      <c r="E448" s="81" t="s">
        <v>2780</v>
      </c>
      <c r="F448" s="81" t="s">
        <v>2799</v>
      </c>
      <c r="G448" s="84"/>
      <c r="H448" s="85"/>
      <c r="I448" s="85"/>
      <c r="J448" s="85"/>
      <c r="K448" s="85"/>
      <c r="L448" s="86"/>
    </row>
    <row r="449" spans="1:12" x14ac:dyDescent="0.2">
      <c r="A449" s="81" t="s">
        <v>1627</v>
      </c>
      <c r="B449" s="81" t="s">
        <v>1676</v>
      </c>
      <c r="C449" s="81" t="s">
        <v>2689</v>
      </c>
      <c r="D449" s="81" t="s">
        <v>3376</v>
      </c>
      <c r="E449" s="81" t="s">
        <v>2834</v>
      </c>
      <c r="F449" s="81" t="s">
        <v>2840</v>
      </c>
      <c r="G449" s="84"/>
      <c r="H449" s="85"/>
      <c r="I449" s="85"/>
      <c r="J449" s="85"/>
      <c r="K449" s="85"/>
      <c r="L449" s="86"/>
    </row>
    <row r="450" spans="1:12" x14ac:dyDescent="0.2">
      <c r="A450" s="84" t="s">
        <v>1627</v>
      </c>
      <c r="B450" s="84" t="s">
        <v>1676</v>
      </c>
      <c r="C450" s="81" t="s">
        <v>2690</v>
      </c>
      <c r="D450" s="81" t="s">
        <v>3376</v>
      </c>
      <c r="E450" s="81" t="s">
        <v>2834</v>
      </c>
      <c r="F450" s="81" t="s">
        <v>2840</v>
      </c>
      <c r="G450" s="84"/>
      <c r="H450" s="85"/>
      <c r="I450" s="85"/>
      <c r="J450" s="85"/>
      <c r="K450" s="85"/>
      <c r="L450" s="86"/>
    </row>
    <row r="451" spans="1:12" x14ac:dyDescent="0.2">
      <c r="A451" s="84" t="s">
        <v>1627</v>
      </c>
      <c r="B451" s="81" t="s">
        <v>1628</v>
      </c>
      <c r="C451" s="81" t="s">
        <v>1626</v>
      </c>
      <c r="D451" s="81" t="s">
        <v>3376</v>
      </c>
      <c r="E451" s="81" t="s">
        <v>2834</v>
      </c>
      <c r="F451" s="81" t="s">
        <v>2840</v>
      </c>
      <c r="G451" s="84"/>
      <c r="H451" s="85"/>
      <c r="I451" s="85"/>
      <c r="J451" s="85"/>
      <c r="K451" s="85"/>
      <c r="L451" s="86"/>
    </row>
    <row r="452" spans="1:12" x14ac:dyDescent="0.2">
      <c r="A452" s="81" t="s">
        <v>1675</v>
      </c>
      <c r="B452" s="81" t="s">
        <v>1676</v>
      </c>
      <c r="C452" s="81" t="s">
        <v>1674</v>
      </c>
      <c r="D452" s="81" t="s">
        <v>3376</v>
      </c>
      <c r="E452" s="81" t="s">
        <v>2834</v>
      </c>
      <c r="F452" s="81" t="s">
        <v>2840</v>
      </c>
      <c r="G452" s="84"/>
      <c r="H452" s="85"/>
      <c r="I452" s="85"/>
      <c r="J452" s="85"/>
      <c r="K452" s="85"/>
      <c r="L452" s="86"/>
    </row>
    <row r="453" spans="1:12" x14ac:dyDescent="0.2">
      <c r="A453" s="81" t="s">
        <v>1567</v>
      </c>
      <c r="B453" s="81" t="s">
        <v>1568</v>
      </c>
      <c r="C453" s="81" t="s">
        <v>1566</v>
      </c>
      <c r="D453" s="81" t="s">
        <v>3377</v>
      </c>
      <c r="E453" s="81" t="s">
        <v>2786</v>
      </c>
      <c r="F453" s="81" t="s">
        <v>2848</v>
      </c>
      <c r="G453" s="84"/>
      <c r="H453" s="85"/>
      <c r="I453" s="85"/>
      <c r="J453" s="85"/>
      <c r="K453" s="85"/>
      <c r="L453" s="86"/>
    </row>
    <row r="454" spans="1:12" x14ac:dyDescent="0.2">
      <c r="A454" s="84" t="s">
        <v>1567</v>
      </c>
      <c r="B454" s="84" t="s">
        <v>1568</v>
      </c>
      <c r="C454" s="81" t="s">
        <v>2683</v>
      </c>
      <c r="D454" s="81" t="s">
        <v>3377</v>
      </c>
      <c r="E454" s="81" t="s">
        <v>2786</v>
      </c>
      <c r="F454" s="81" t="s">
        <v>2848</v>
      </c>
      <c r="G454" s="84"/>
      <c r="H454" s="85"/>
      <c r="I454" s="85"/>
      <c r="J454" s="85"/>
      <c r="K454" s="85"/>
      <c r="L454" s="86"/>
    </row>
    <row r="455" spans="1:12" x14ac:dyDescent="0.2">
      <c r="A455" s="81" t="s">
        <v>1533</v>
      </c>
      <c r="B455" s="81" t="s">
        <v>1534</v>
      </c>
      <c r="C455" s="81" t="s">
        <v>1532</v>
      </c>
      <c r="D455" s="81" t="s">
        <v>3378</v>
      </c>
      <c r="E455" s="81" t="s">
        <v>2786</v>
      </c>
      <c r="F455" s="81" t="s">
        <v>2787</v>
      </c>
      <c r="G455" s="84"/>
      <c r="H455" s="85"/>
      <c r="I455" s="85"/>
      <c r="J455" s="85"/>
      <c r="K455" s="85"/>
      <c r="L455" s="86"/>
    </row>
    <row r="456" spans="1:12" x14ac:dyDescent="0.2">
      <c r="A456" s="84" t="s">
        <v>1533</v>
      </c>
      <c r="B456" s="84" t="s">
        <v>1534</v>
      </c>
      <c r="C456" s="81" t="s">
        <v>2676</v>
      </c>
      <c r="D456" s="81" t="s">
        <v>3378</v>
      </c>
      <c r="E456" s="81" t="s">
        <v>2786</v>
      </c>
      <c r="F456" s="81" t="s">
        <v>2787</v>
      </c>
      <c r="G456" s="84"/>
      <c r="H456" s="85"/>
      <c r="I456" s="85"/>
      <c r="J456" s="85"/>
      <c r="K456" s="85"/>
      <c r="L456" s="86"/>
    </row>
    <row r="457" spans="1:12" x14ac:dyDescent="0.2">
      <c r="A457" s="84" t="s">
        <v>1533</v>
      </c>
      <c r="B457" s="84" t="s">
        <v>1534</v>
      </c>
      <c r="C457" s="81" t="s">
        <v>2677</v>
      </c>
      <c r="D457" s="81" t="s">
        <v>3378</v>
      </c>
      <c r="E457" s="81" t="s">
        <v>2786</v>
      </c>
      <c r="F457" s="81" t="s">
        <v>2787</v>
      </c>
      <c r="G457" s="84"/>
      <c r="H457" s="85"/>
      <c r="I457" s="85"/>
      <c r="J457" s="85"/>
      <c r="K457" s="85"/>
      <c r="L457" s="86"/>
    </row>
    <row r="458" spans="1:12" x14ac:dyDescent="0.2">
      <c r="A458" s="81" t="s">
        <v>715</v>
      </c>
      <c r="B458" s="81" t="s">
        <v>716</v>
      </c>
      <c r="C458" s="81" t="s">
        <v>714</v>
      </c>
      <c r="D458" s="81" t="s">
        <v>3282</v>
      </c>
      <c r="E458" s="81" t="s">
        <v>2804</v>
      </c>
      <c r="F458" s="81" t="s">
        <v>2813</v>
      </c>
      <c r="G458" s="84"/>
      <c r="H458" s="85"/>
      <c r="I458" s="85"/>
      <c r="J458" s="85"/>
      <c r="K458" s="85"/>
      <c r="L458" s="86"/>
    </row>
    <row r="459" spans="1:12" x14ac:dyDescent="0.2">
      <c r="A459" s="84" t="s">
        <v>715</v>
      </c>
      <c r="B459" s="84" t="s">
        <v>716</v>
      </c>
      <c r="C459" s="81" t="s">
        <v>2579</v>
      </c>
      <c r="D459" s="81" t="s">
        <v>3282</v>
      </c>
      <c r="E459" s="81" t="s">
        <v>2804</v>
      </c>
      <c r="F459" s="81" t="s">
        <v>2813</v>
      </c>
      <c r="G459" s="84"/>
      <c r="H459" s="85"/>
      <c r="I459" s="85"/>
      <c r="J459" s="85"/>
      <c r="K459" s="85"/>
      <c r="L459" s="86"/>
    </row>
    <row r="460" spans="1:12" x14ac:dyDescent="0.2">
      <c r="A460" s="84" t="s">
        <v>715</v>
      </c>
      <c r="B460" s="84" t="s">
        <v>716</v>
      </c>
      <c r="C460" s="81" t="s">
        <v>2580</v>
      </c>
      <c r="D460" s="81" t="s">
        <v>3282</v>
      </c>
      <c r="E460" s="81" t="s">
        <v>2804</v>
      </c>
      <c r="F460" s="81" t="s">
        <v>2813</v>
      </c>
      <c r="G460" s="84"/>
      <c r="H460" s="85"/>
      <c r="I460" s="85"/>
      <c r="J460" s="85"/>
      <c r="K460" s="85"/>
      <c r="L460" s="86"/>
    </row>
    <row r="461" spans="1:12" x14ac:dyDescent="0.2">
      <c r="A461" s="81" t="s">
        <v>1247</v>
      </c>
      <c r="B461" s="81" t="s">
        <v>1248</v>
      </c>
      <c r="C461" s="81" t="s">
        <v>1246</v>
      </c>
      <c r="D461" s="81" t="s">
        <v>3357</v>
      </c>
      <c r="E461" s="81" t="s">
        <v>2767</v>
      </c>
      <c r="F461" s="81" t="s">
        <v>2842</v>
      </c>
      <c r="G461" s="84"/>
      <c r="H461" s="85"/>
      <c r="I461" s="85"/>
      <c r="J461" s="85"/>
      <c r="K461" s="85"/>
      <c r="L461" s="86"/>
    </row>
    <row r="462" spans="1:12" x14ac:dyDescent="0.2">
      <c r="A462" s="84" t="s">
        <v>1247</v>
      </c>
      <c r="B462" s="84" t="s">
        <v>1248</v>
      </c>
      <c r="C462" s="81" t="s">
        <v>2663</v>
      </c>
      <c r="D462" s="81" t="s">
        <v>3357</v>
      </c>
      <c r="E462" s="81" t="s">
        <v>2767</v>
      </c>
      <c r="F462" s="81" t="s">
        <v>2842</v>
      </c>
      <c r="G462" s="84"/>
      <c r="H462" s="85"/>
      <c r="I462" s="85"/>
      <c r="J462" s="85"/>
      <c r="K462" s="85"/>
      <c r="L462" s="86"/>
    </row>
    <row r="463" spans="1:12" x14ac:dyDescent="0.2">
      <c r="A463" s="81" t="s">
        <v>1142</v>
      </c>
      <c r="B463" s="81" t="s">
        <v>1143</v>
      </c>
      <c r="C463" s="81" t="s">
        <v>1141</v>
      </c>
      <c r="D463" s="81" t="s">
        <v>3217</v>
      </c>
      <c r="E463" s="81" t="s">
        <v>2770</v>
      </c>
      <c r="F463" s="81" t="s">
        <v>2789</v>
      </c>
      <c r="G463" s="84"/>
      <c r="H463" s="85"/>
      <c r="I463" s="85"/>
      <c r="J463" s="85"/>
      <c r="K463" s="85"/>
      <c r="L463" s="86"/>
    </row>
    <row r="464" spans="1:12" x14ac:dyDescent="0.2">
      <c r="A464" s="81" t="s">
        <v>1128</v>
      </c>
      <c r="B464" s="81" t="s">
        <v>954</v>
      </c>
      <c r="C464" s="81" t="s">
        <v>1127</v>
      </c>
      <c r="D464" s="81" t="s">
        <v>3187</v>
      </c>
      <c r="E464" s="81" t="s">
        <v>2759</v>
      </c>
      <c r="F464" s="81" t="s">
        <v>2760</v>
      </c>
      <c r="G464" s="84"/>
      <c r="H464" s="85"/>
      <c r="I464" s="85"/>
      <c r="J464" s="85"/>
      <c r="K464" s="85"/>
      <c r="L464" s="86"/>
    </row>
    <row r="465" spans="1:12" x14ac:dyDescent="0.2">
      <c r="A465" s="81" t="s">
        <v>1137</v>
      </c>
      <c r="B465" s="81" t="s">
        <v>1138</v>
      </c>
      <c r="C465" s="81" t="s">
        <v>1136</v>
      </c>
      <c r="D465" s="81" t="s">
        <v>3379</v>
      </c>
      <c r="E465" s="81" t="s">
        <v>2772</v>
      </c>
      <c r="F465" s="81" t="s">
        <v>2788</v>
      </c>
      <c r="G465" s="84"/>
      <c r="H465" s="85"/>
      <c r="I465" s="85"/>
      <c r="J465" s="85"/>
      <c r="K465" s="85"/>
      <c r="L465" s="86"/>
    </row>
    <row r="466" spans="1:12" x14ac:dyDescent="0.2">
      <c r="A466" s="81" t="s">
        <v>1126</v>
      </c>
      <c r="B466" s="81" t="s">
        <v>954</v>
      </c>
      <c r="C466" s="81" t="s">
        <v>1125</v>
      </c>
      <c r="D466" s="81" t="s">
        <v>3187</v>
      </c>
      <c r="E466" s="81" t="s">
        <v>2759</v>
      </c>
      <c r="F466" s="81" t="s">
        <v>2760</v>
      </c>
      <c r="G466" s="84"/>
      <c r="H466" s="85"/>
      <c r="I466" s="85"/>
      <c r="J466" s="85"/>
      <c r="K466" s="85"/>
      <c r="L466" s="86"/>
    </row>
    <row r="467" spans="1:12" x14ac:dyDescent="0.2">
      <c r="A467" s="81" t="s">
        <v>1132</v>
      </c>
      <c r="B467" s="81" t="s">
        <v>1133</v>
      </c>
      <c r="C467" s="81" t="s">
        <v>1131</v>
      </c>
      <c r="D467" s="81" t="s">
        <v>3380</v>
      </c>
      <c r="E467" s="81" t="s">
        <v>2782</v>
      </c>
      <c r="F467" s="81" t="s">
        <v>2839</v>
      </c>
      <c r="G467" s="84"/>
      <c r="H467" s="85"/>
      <c r="I467" s="85"/>
      <c r="J467" s="85"/>
      <c r="K467" s="85"/>
      <c r="L467" s="86"/>
    </row>
    <row r="468" spans="1:12" x14ac:dyDescent="0.2">
      <c r="A468" s="81" t="s">
        <v>1130</v>
      </c>
      <c r="B468" s="81" t="s">
        <v>964</v>
      </c>
      <c r="C468" s="81" t="s">
        <v>1129</v>
      </c>
      <c r="D468" s="81" t="s">
        <v>3220</v>
      </c>
      <c r="E468" s="81" t="s">
        <v>2759</v>
      </c>
      <c r="F468" s="81" t="s">
        <v>2760</v>
      </c>
      <c r="G468" s="84"/>
      <c r="H468" s="85"/>
      <c r="I468" s="85"/>
      <c r="J468" s="85"/>
      <c r="K468" s="85"/>
      <c r="L468" s="86"/>
    </row>
    <row r="469" spans="1:12" x14ac:dyDescent="0.2">
      <c r="A469" s="81" t="s">
        <v>1276</v>
      </c>
      <c r="B469" s="81" t="s">
        <v>1277</v>
      </c>
      <c r="C469" s="81" t="s">
        <v>1275</v>
      </c>
      <c r="D469" s="81" t="s">
        <v>3188</v>
      </c>
      <c r="E469" s="81" t="s">
        <v>2767</v>
      </c>
      <c r="F469" s="81" t="s">
        <v>2768</v>
      </c>
      <c r="G469" s="84"/>
      <c r="H469" s="85"/>
      <c r="I469" s="85"/>
      <c r="J469" s="85"/>
      <c r="K469" s="85"/>
      <c r="L469" s="86"/>
    </row>
    <row r="470" spans="1:12" x14ac:dyDescent="0.2">
      <c r="A470" s="81" t="s">
        <v>1271</v>
      </c>
      <c r="B470" s="81" t="s">
        <v>3074</v>
      </c>
      <c r="C470" s="81" t="s">
        <v>1270</v>
      </c>
      <c r="D470" s="81" t="s">
        <v>3199</v>
      </c>
      <c r="E470" s="81" t="s">
        <v>2762</v>
      </c>
      <c r="F470" s="81" t="s">
        <v>2774</v>
      </c>
      <c r="G470" s="84"/>
      <c r="H470" s="85"/>
      <c r="I470" s="85"/>
      <c r="J470" s="85"/>
      <c r="K470" s="85"/>
      <c r="L470" s="86"/>
    </row>
    <row r="471" spans="1:12" x14ac:dyDescent="0.2">
      <c r="A471" s="81" t="s">
        <v>2374</v>
      </c>
      <c r="B471" s="81" t="s">
        <v>2375</v>
      </c>
      <c r="C471" s="81" t="s">
        <v>2373</v>
      </c>
      <c r="D471" s="81" t="s">
        <v>3381</v>
      </c>
      <c r="E471" s="81" t="s">
        <v>2791</v>
      </c>
      <c r="F471" s="81" t="s">
        <v>2812</v>
      </c>
      <c r="G471" s="84"/>
      <c r="H471" s="85"/>
      <c r="I471" s="85"/>
      <c r="J471" s="85"/>
      <c r="K471" s="85"/>
      <c r="L471" s="86"/>
    </row>
    <row r="472" spans="1:12" x14ac:dyDescent="0.2">
      <c r="A472" s="81" t="s">
        <v>1333</v>
      </c>
      <c r="B472" s="81" t="s">
        <v>1334</v>
      </c>
      <c r="C472" s="81" t="s">
        <v>1332</v>
      </c>
      <c r="D472" s="81" t="s">
        <v>3192</v>
      </c>
      <c r="E472" s="81" t="s">
        <v>2762</v>
      </c>
      <c r="F472" s="81" t="s">
        <v>2766</v>
      </c>
      <c r="G472" s="84"/>
      <c r="H472" s="85"/>
      <c r="I472" s="85"/>
      <c r="J472" s="85"/>
      <c r="K472" s="85"/>
      <c r="L472" s="86"/>
    </row>
    <row r="473" spans="1:12" x14ac:dyDescent="0.2">
      <c r="A473" s="81" t="s">
        <v>1336</v>
      </c>
      <c r="B473" s="81" t="s">
        <v>1337</v>
      </c>
      <c r="C473" s="81" t="s">
        <v>1335</v>
      </c>
      <c r="D473" s="81" t="s">
        <v>3301</v>
      </c>
      <c r="E473" s="81" t="s">
        <v>2767</v>
      </c>
      <c r="F473" s="81" t="s">
        <v>2768</v>
      </c>
      <c r="G473" s="84"/>
      <c r="H473" s="85"/>
      <c r="I473" s="85"/>
      <c r="J473" s="85"/>
      <c r="K473" s="85"/>
      <c r="L473" s="86"/>
    </row>
    <row r="474" spans="1:12" x14ac:dyDescent="0.2">
      <c r="A474" s="81" t="s">
        <v>1341</v>
      </c>
      <c r="B474" s="81" t="s">
        <v>1277</v>
      </c>
      <c r="C474" s="81" t="s">
        <v>1340</v>
      </c>
      <c r="D474" s="81" t="s">
        <v>3188</v>
      </c>
      <c r="E474" s="81" t="s">
        <v>2767</v>
      </c>
      <c r="F474" s="81" t="s">
        <v>2768</v>
      </c>
      <c r="G474" s="84"/>
      <c r="H474" s="85"/>
      <c r="I474" s="85"/>
      <c r="J474" s="85"/>
      <c r="K474" s="85"/>
      <c r="L474" s="86"/>
    </row>
    <row r="475" spans="1:12" x14ac:dyDescent="0.2">
      <c r="A475" s="81" t="s">
        <v>1726</v>
      </c>
      <c r="B475" s="81" t="s">
        <v>1727</v>
      </c>
      <c r="C475" s="81" t="s">
        <v>1725</v>
      </c>
      <c r="D475" s="81" t="s">
        <v>3382</v>
      </c>
      <c r="E475" s="81" t="s">
        <v>2775</v>
      </c>
      <c r="F475" s="81" t="s">
        <v>2777</v>
      </c>
      <c r="G475" s="84"/>
      <c r="H475" s="85"/>
      <c r="I475" s="85"/>
      <c r="J475" s="85"/>
      <c r="K475" s="85"/>
      <c r="L475" s="86"/>
    </row>
    <row r="476" spans="1:12" x14ac:dyDescent="0.2">
      <c r="A476" s="81" t="s">
        <v>1862</v>
      </c>
      <c r="B476" s="81" t="s">
        <v>1863</v>
      </c>
      <c r="C476" s="81" t="s">
        <v>1861</v>
      </c>
      <c r="D476" s="81" t="s">
        <v>3325</v>
      </c>
      <c r="E476" s="81" t="s">
        <v>2770</v>
      </c>
      <c r="F476" s="81" t="s">
        <v>2826</v>
      </c>
      <c r="G476" s="84"/>
      <c r="H476" s="85"/>
      <c r="I476" s="85"/>
      <c r="J476" s="85"/>
      <c r="K476" s="85"/>
      <c r="L476" s="86"/>
    </row>
    <row r="477" spans="1:12" x14ac:dyDescent="0.2">
      <c r="A477" s="81" t="s">
        <v>2434</v>
      </c>
      <c r="B477" s="81" t="s">
        <v>2435</v>
      </c>
      <c r="C477" s="81" t="s">
        <v>2433</v>
      </c>
      <c r="D477" s="81" t="s">
        <v>3383</v>
      </c>
      <c r="E477" s="81" t="s">
        <v>2791</v>
      </c>
      <c r="F477" s="81" t="s">
        <v>2849</v>
      </c>
      <c r="G477" s="84"/>
      <c r="H477" s="85"/>
      <c r="I477" s="85"/>
      <c r="J477" s="85"/>
      <c r="K477" s="85"/>
      <c r="L477" s="86"/>
    </row>
    <row r="478" spans="1:12" x14ac:dyDescent="0.2">
      <c r="A478" s="81" t="s">
        <v>1682</v>
      </c>
      <c r="B478" s="81" t="s">
        <v>1683</v>
      </c>
      <c r="C478" s="81" t="s">
        <v>1681</v>
      </c>
      <c r="D478" s="81" t="s">
        <v>3369</v>
      </c>
      <c r="E478" s="81" t="s">
        <v>2834</v>
      </c>
      <c r="F478" s="81" t="s">
        <v>2757</v>
      </c>
      <c r="G478" s="84"/>
      <c r="H478" s="85"/>
      <c r="I478" s="85"/>
      <c r="J478" s="85"/>
      <c r="K478" s="85"/>
      <c r="L478" s="86"/>
    </row>
    <row r="479" spans="1:12" x14ac:dyDescent="0.2">
      <c r="A479" s="81" t="s">
        <v>2347</v>
      </c>
      <c r="B479" s="81" t="s">
        <v>2348</v>
      </c>
      <c r="C479" s="81" t="s">
        <v>2346</v>
      </c>
      <c r="D479" s="81" t="s">
        <v>3384</v>
      </c>
      <c r="E479" s="81" t="s">
        <v>2791</v>
      </c>
      <c r="F479" s="81" t="s">
        <v>2850</v>
      </c>
      <c r="G479" s="84"/>
      <c r="H479" s="85"/>
      <c r="I479" s="85"/>
      <c r="J479" s="85"/>
      <c r="K479" s="85"/>
      <c r="L479" s="86"/>
    </row>
    <row r="480" spans="1:12" x14ac:dyDescent="0.2">
      <c r="A480" s="81" t="s">
        <v>2354</v>
      </c>
      <c r="B480" s="81" t="s">
        <v>1987</v>
      </c>
      <c r="C480" s="81" t="s">
        <v>2353</v>
      </c>
      <c r="D480" s="81" t="s">
        <v>3222</v>
      </c>
      <c r="E480" s="81" t="s">
        <v>2791</v>
      </c>
      <c r="F480" s="81" t="s">
        <v>1489</v>
      </c>
      <c r="G480" s="84"/>
      <c r="H480" s="85"/>
      <c r="I480" s="85"/>
      <c r="J480" s="85"/>
      <c r="K480" s="85"/>
      <c r="L480" s="86"/>
    </row>
    <row r="481" spans="1:12" x14ac:dyDescent="0.2">
      <c r="A481" s="81" t="s">
        <v>2352</v>
      </c>
      <c r="B481" s="81" t="s">
        <v>1487</v>
      </c>
      <c r="C481" s="81" t="s">
        <v>2351</v>
      </c>
      <c r="D481" s="81" t="s">
        <v>3223</v>
      </c>
      <c r="E481" s="81" t="s">
        <v>2791</v>
      </c>
      <c r="F481" s="81" t="s">
        <v>1489</v>
      </c>
      <c r="G481" s="84"/>
      <c r="H481" s="85"/>
      <c r="I481" s="85"/>
      <c r="J481" s="85"/>
      <c r="K481" s="85"/>
      <c r="L481" s="86"/>
    </row>
    <row r="482" spans="1:12" x14ac:dyDescent="0.2">
      <c r="A482" s="81" t="s">
        <v>2441</v>
      </c>
      <c r="B482" s="81" t="s">
        <v>1411</v>
      </c>
      <c r="C482" s="81" t="s">
        <v>2440</v>
      </c>
      <c r="D482" s="81" t="s">
        <v>3235</v>
      </c>
      <c r="E482" s="81" t="s">
        <v>2791</v>
      </c>
      <c r="F482" s="81" t="s">
        <v>2769</v>
      </c>
      <c r="G482" s="84"/>
      <c r="H482" s="85"/>
      <c r="I482" s="85"/>
      <c r="J482" s="85"/>
      <c r="K482" s="85"/>
      <c r="L482" s="86"/>
    </row>
    <row r="483" spans="1:12" x14ac:dyDescent="0.2">
      <c r="A483" s="81" t="s">
        <v>1731</v>
      </c>
      <c r="B483" s="81" t="s">
        <v>1732</v>
      </c>
      <c r="C483" s="81" t="s">
        <v>1730</v>
      </c>
      <c r="D483" s="81" t="s">
        <v>3385</v>
      </c>
      <c r="E483" s="81" t="s">
        <v>2775</v>
      </c>
      <c r="F483" s="81" t="s">
        <v>2779</v>
      </c>
      <c r="G483" s="84"/>
      <c r="H483" s="85"/>
      <c r="I483" s="85"/>
      <c r="J483" s="85"/>
      <c r="K483" s="85"/>
      <c r="L483" s="86"/>
    </row>
    <row r="484" spans="1:12" x14ac:dyDescent="0.2">
      <c r="A484" s="81" t="s">
        <v>1396</v>
      </c>
      <c r="B484" s="81" t="s">
        <v>1397</v>
      </c>
      <c r="C484" s="81" t="s">
        <v>1395</v>
      </c>
      <c r="D484" s="81" t="s">
        <v>3386</v>
      </c>
      <c r="E484" s="81" t="s">
        <v>2762</v>
      </c>
      <c r="F484" s="81" t="s">
        <v>2763</v>
      </c>
      <c r="G484" s="84"/>
      <c r="H484" s="85"/>
      <c r="I484" s="85"/>
      <c r="J484" s="85"/>
      <c r="K484" s="85"/>
      <c r="L484" s="86"/>
    </row>
    <row r="485" spans="1:12" x14ac:dyDescent="0.2">
      <c r="A485" s="81" t="s">
        <v>1021</v>
      </c>
      <c r="B485" s="81" t="s">
        <v>1022</v>
      </c>
      <c r="C485" s="81" t="s">
        <v>1020</v>
      </c>
      <c r="D485" s="81" t="s">
        <v>3387</v>
      </c>
      <c r="E485" s="81" t="s">
        <v>2772</v>
      </c>
      <c r="F485" s="81" t="s">
        <v>2773</v>
      </c>
      <c r="G485" s="84"/>
      <c r="H485" s="85"/>
      <c r="I485" s="85"/>
      <c r="J485" s="85"/>
      <c r="K485" s="85"/>
      <c r="L485" s="86"/>
    </row>
    <row r="486" spans="1:12" x14ac:dyDescent="0.2">
      <c r="A486" s="81" t="s">
        <v>1113</v>
      </c>
      <c r="B486" s="81" t="s">
        <v>1114</v>
      </c>
      <c r="C486" s="81" t="s">
        <v>1112</v>
      </c>
      <c r="D486" s="81" t="s">
        <v>3388</v>
      </c>
      <c r="E486" s="81" t="s">
        <v>2772</v>
      </c>
      <c r="F486" s="81" t="s">
        <v>2806</v>
      </c>
      <c r="G486" s="84"/>
      <c r="H486" s="85"/>
      <c r="I486" s="85"/>
      <c r="J486" s="85"/>
      <c r="K486" s="85"/>
      <c r="L486" s="86"/>
    </row>
    <row r="487" spans="1:12" x14ac:dyDescent="0.2">
      <c r="A487" s="81" t="s">
        <v>2504</v>
      </c>
      <c r="B487" s="81" t="s">
        <v>2505</v>
      </c>
      <c r="C487" s="81" t="s">
        <v>2503</v>
      </c>
      <c r="D487" s="81" t="s">
        <v>3389</v>
      </c>
      <c r="E487" s="81" t="s">
        <v>2759</v>
      </c>
      <c r="F487" s="81" t="s">
        <v>2785</v>
      </c>
      <c r="G487" s="84"/>
      <c r="H487" s="85"/>
      <c r="I487" s="85"/>
      <c r="J487" s="85"/>
      <c r="K487" s="85"/>
      <c r="L487" s="86"/>
    </row>
    <row r="488" spans="1:12" x14ac:dyDescent="0.2">
      <c r="A488" s="81" t="s">
        <v>2502</v>
      </c>
      <c r="B488" s="81" t="s">
        <v>958</v>
      </c>
      <c r="C488" s="81" t="s">
        <v>2501</v>
      </c>
      <c r="D488" s="81" t="s">
        <v>3187</v>
      </c>
      <c r="E488" s="81" t="s">
        <v>2759</v>
      </c>
      <c r="F488" s="81" t="s">
        <v>2760</v>
      </c>
      <c r="G488" s="84"/>
      <c r="H488" s="85"/>
      <c r="I488" s="85"/>
      <c r="J488" s="85"/>
      <c r="K488" s="85"/>
      <c r="L488" s="86"/>
    </row>
    <row r="489" spans="1:12" x14ac:dyDescent="0.2">
      <c r="A489" s="81" t="s">
        <v>3153</v>
      </c>
      <c r="B489" s="81" t="s">
        <v>3155</v>
      </c>
      <c r="C489" s="81" t="s">
        <v>3154</v>
      </c>
      <c r="D489" s="81" t="s">
        <v>3216</v>
      </c>
      <c r="E489" s="81" t="s">
        <v>2762</v>
      </c>
      <c r="F489" s="81" t="s">
        <v>2790</v>
      </c>
      <c r="G489" s="84"/>
      <c r="H489" s="85"/>
      <c r="I489" s="85"/>
      <c r="J489" s="85"/>
      <c r="K489" s="85"/>
      <c r="L489" s="86"/>
    </row>
    <row r="490" spans="1:12" x14ac:dyDescent="0.2">
      <c r="A490" s="81" t="s">
        <v>1572</v>
      </c>
      <c r="B490" s="81" t="s">
        <v>1573</v>
      </c>
      <c r="C490" s="81" t="s">
        <v>1571</v>
      </c>
      <c r="D490" s="81" t="s">
        <v>3234</v>
      </c>
      <c r="E490" s="81" t="s">
        <v>2786</v>
      </c>
      <c r="F490" s="81" t="s">
        <v>2787</v>
      </c>
      <c r="G490" s="84"/>
      <c r="H490" s="85"/>
      <c r="I490" s="85"/>
      <c r="J490" s="85"/>
      <c r="K490" s="85"/>
      <c r="L490" s="86"/>
    </row>
    <row r="491" spans="1:12" x14ac:dyDescent="0.2">
      <c r="A491" s="81" t="s">
        <v>2735</v>
      </c>
      <c r="B491" s="81" t="s">
        <v>1913</v>
      </c>
      <c r="C491" s="81" t="s">
        <v>2734</v>
      </c>
      <c r="D491" s="81" t="s">
        <v>3208</v>
      </c>
      <c r="E491" s="81" t="s">
        <v>2782</v>
      </c>
      <c r="F491" s="81" t="s">
        <v>2764</v>
      </c>
      <c r="G491" s="84"/>
      <c r="H491" s="85"/>
      <c r="I491" s="85"/>
      <c r="J491" s="85"/>
      <c r="K491" s="85"/>
      <c r="L491" s="86"/>
    </row>
    <row r="492" spans="1:12" x14ac:dyDescent="0.2">
      <c r="A492" s="81" t="s">
        <v>2733</v>
      </c>
      <c r="B492" s="81" t="s">
        <v>1908</v>
      </c>
      <c r="C492" s="81" t="s">
        <v>2732</v>
      </c>
      <c r="D492" s="81" t="s">
        <v>3209</v>
      </c>
      <c r="E492" s="81" t="s">
        <v>2782</v>
      </c>
      <c r="F492" s="81" t="s">
        <v>2764</v>
      </c>
      <c r="G492" s="84"/>
      <c r="H492" s="85"/>
      <c r="I492" s="85"/>
      <c r="J492" s="85"/>
      <c r="K492" s="85"/>
      <c r="L492" s="86"/>
    </row>
    <row r="493" spans="1:12" x14ac:dyDescent="0.2">
      <c r="A493" s="81" t="s">
        <v>2730</v>
      </c>
      <c r="B493" s="81" t="s">
        <v>1900</v>
      </c>
      <c r="C493" s="81" t="s">
        <v>2729</v>
      </c>
      <c r="D493" s="81" t="s">
        <v>3210</v>
      </c>
      <c r="E493" s="81" t="s">
        <v>2782</v>
      </c>
      <c r="F493" s="81" t="s">
        <v>2764</v>
      </c>
      <c r="G493" s="84"/>
      <c r="H493" s="85"/>
      <c r="I493" s="85"/>
      <c r="J493" s="85"/>
      <c r="K493" s="85"/>
      <c r="L493" s="86"/>
    </row>
    <row r="494" spans="1:12" x14ac:dyDescent="0.2">
      <c r="A494" s="81" t="s">
        <v>2266</v>
      </c>
      <c r="B494" s="81" t="s">
        <v>1905</v>
      </c>
      <c r="C494" s="81" t="s">
        <v>2265</v>
      </c>
      <c r="D494" s="81" t="s">
        <v>3217</v>
      </c>
      <c r="E494" s="81" t="s">
        <v>2770</v>
      </c>
      <c r="F494" s="81" t="s">
        <v>2789</v>
      </c>
      <c r="G494" s="84"/>
      <c r="H494" s="85"/>
      <c r="I494" s="85"/>
      <c r="J494" s="85"/>
      <c r="K494" s="85"/>
      <c r="L494" s="86"/>
    </row>
    <row r="495" spans="1:12" x14ac:dyDescent="0.2">
      <c r="A495" s="84" t="s">
        <v>2266</v>
      </c>
      <c r="B495" s="84" t="s">
        <v>1905</v>
      </c>
      <c r="C495" s="81" t="s">
        <v>2731</v>
      </c>
      <c r="D495" s="81" t="s">
        <v>3217</v>
      </c>
      <c r="E495" s="81" t="s">
        <v>2770</v>
      </c>
      <c r="F495" s="81" t="s">
        <v>2789</v>
      </c>
      <c r="G495" s="84"/>
      <c r="H495" s="85"/>
      <c r="I495" s="85"/>
      <c r="J495" s="85"/>
      <c r="K495" s="85"/>
      <c r="L495" s="86"/>
    </row>
    <row r="496" spans="1:12" x14ac:dyDescent="0.2">
      <c r="A496" s="81" t="s">
        <v>2264</v>
      </c>
      <c r="B496" s="81" t="s">
        <v>1900</v>
      </c>
      <c r="C496" s="81" t="s">
        <v>2263</v>
      </c>
      <c r="D496" s="81" t="s">
        <v>3210</v>
      </c>
      <c r="E496" s="81" t="s">
        <v>2782</v>
      </c>
      <c r="F496" s="81" t="s">
        <v>2764</v>
      </c>
      <c r="G496" s="84"/>
      <c r="H496" s="85"/>
      <c r="I496" s="85"/>
      <c r="J496" s="85"/>
      <c r="K496" s="85"/>
      <c r="L496" s="86"/>
    </row>
    <row r="497" spans="1:12" x14ac:dyDescent="0.2">
      <c r="A497" s="81" t="s">
        <v>2272</v>
      </c>
      <c r="B497" s="81" t="s">
        <v>1987</v>
      </c>
      <c r="C497" s="81" t="s">
        <v>2271</v>
      </c>
      <c r="D497" s="81" t="s">
        <v>3222</v>
      </c>
      <c r="E497" s="81" t="s">
        <v>2791</v>
      </c>
      <c r="F497" s="81" t="s">
        <v>1489</v>
      </c>
      <c r="G497" s="84"/>
      <c r="H497" s="85"/>
      <c r="I497" s="85"/>
      <c r="J497" s="85"/>
      <c r="K497" s="85"/>
      <c r="L497" s="86"/>
    </row>
    <row r="498" spans="1:12" x14ac:dyDescent="0.2">
      <c r="A498" s="81" t="s">
        <v>2262</v>
      </c>
      <c r="B498" s="81" t="s">
        <v>1487</v>
      </c>
      <c r="C498" s="81" t="s">
        <v>2261</v>
      </c>
      <c r="D498" s="81" t="s">
        <v>3223</v>
      </c>
      <c r="E498" s="81" t="s">
        <v>2791</v>
      </c>
      <c r="F498" s="81" t="s">
        <v>1489</v>
      </c>
      <c r="G498" s="84"/>
      <c r="H498" s="85"/>
      <c r="I498" s="85"/>
      <c r="J498" s="85"/>
      <c r="K498" s="85"/>
      <c r="L498" s="86"/>
    </row>
    <row r="499" spans="1:12" x14ac:dyDescent="0.2">
      <c r="A499" s="81" t="s">
        <v>2276</v>
      </c>
      <c r="B499" s="81" t="s">
        <v>909</v>
      </c>
      <c r="C499" s="81" t="s">
        <v>2275</v>
      </c>
      <c r="D499" s="81" t="s">
        <v>3224</v>
      </c>
      <c r="E499" s="81" t="s">
        <v>2782</v>
      </c>
      <c r="F499" s="81" t="s">
        <v>2792</v>
      </c>
      <c r="G499" s="84"/>
      <c r="H499" s="85"/>
      <c r="I499" s="85"/>
      <c r="J499" s="85"/>
      <c r="K499" s="85"/>
      <c r="L499" s="86"/>
    </row>
    <row r="500" spans="1:12" x14ac:dyDescent="0.2">
      <c r="A500" s="81" t="s">
        <v>2274</v>
      </c>
      <c r="B500" s="81" t="s">
        <v>2012</v>
      </c>
      <c r="C500" s="81" t="s">
        <v>2273</v>
      </c>
      <c r="D500" s="81" t="s">
        <v>3269</v>
      </c>
      <c r="E500" s="81" t="s">
        <v>2791</v>
      </c>
      <c r="F500" s="81" t="s">
        <v>2764</v>
      </c>
      <c r="G500" s="84"/>
      <c r="H500" s="85"/>
      <c r="I500" s="85"/>
      <c r="J500" s="85"/>
      <c r="K500" s="85"/>
      <c r="L500" s="86"/>
    </row>
    <row r="501" spans="1:12" x14ac:dyDescent="0.2">
      <c r="A501" s="81" t="s">
        <v>2278</v>
      </c>
      <c r="B501" s="81" t="s">
        <v>1926</v>
      </c>
      <c r="C501" s="81" t="s">
        <v>2277</v>
      </c>
      <c r="D501" s="81" t="s">
        <v>3227</v>
      </c>
      <c r="E501" s="81" t="s">
        <v>2782</v>
      </c>
      <c r="F501" s="81" t="s">
        <v>2784</v>
      </c>
      <c r="G501" s="84"/>
      <c r="H501" s="85"/>
      <c r="I501" s="85"/>
      <c r="J501" s="85"/>
      <c r="K501" s="85"/>
      <c r="L501" s="86"/>
    </row>
    <row r="502" spans="1:12" x14ac:dyDescent="0.2">
      <c r="A502" s="81" t="s">
        <v>2268</v>
      </c>
      <c r="B502" s="81" t="s">
        <v>1908</v>
      </c>
      <c r="C502" s="81" t="s">
        <v>2267</v>
      </c>
      <c r="D502" s="81" t="s">
        <v>3209</v>
      </c>
      <c r="E502" s="81" t="s">
        <v>2782</v>
      </c>
      <c r="F502" s="81" t="s">
        <v>2764</v>
      </c>
      <c r="G502" s="84"/>
      <c r="H502" s="85"/>
      <c r="I502" s="85"/>
      <c r="J502" s="85"/>
      <c r="K502" s="85"/>
      <c r="L502" s="86"/>
    </row>
    <row r="503" spans="1:12" x14ac:dyDescent="0.2">
      <c r="A503" s="81" t="s">
        <v>2270</v>
      </c>
      <c r="B503" s="81" t="s">
        <v>1913</v>
      </c>
      <c r="C503" s="81" t="s">
        <v>2269</v>
      </c>
      <c r="D503" s="81" t="s">
        <v>3208</v>
      </c>
      <c r="E503" s="81" t="s">
        <v>2782</v>
      </c>
      <c r="F503" s="81" t="s">
        <v>2764</v>
      </c>
      <c r="G503" s="84"/>
      <c r="H503" s="85"/>
      <c r="I503" s="85"/>
      <c r="J503" s="85"/>
      <c r="K503" s="85"/>
      <c r="L503" s="86"/>
    </row>
    <row r="504" spans="1:12" x14ac:dyDescent="0.2">
      <c r="A504" s="81" t="s">
        <v>1242</v>
      </c>
      <c r="B504" s="81" t="s">
        <v>1243</v>
      </c>
      <c r="C504" s="81" t="s">
        <v>1241</v>
      </c>
      <c r="D504" s="81" t="s">
        <v>3390</v>
      </c>
      <c r="E504" s="81" t="s">
        <v>2767</v>
      </c>
      <c r="F504" s="81" t="s">
        <v>2842</v>
      </c>
      <c r="G504" s="84"/>
      <c r="H504" s="85"/>
      <c r="I504" s="85"/>
      <c r="J504" s="85"/>
      <c r="K504" s="85"/>
      <c r="L504" s="86"/>
    </row>
    <row r="505" spans="1:12" x14ac:dyDescent="0.2">
      <c r="A505" s="81" t="s">
        <v>1356</v>
      </c>
      <c r="B505" s="81" t="s">
        <v>1357</v>
      </c>
      <c r="C505" s="81" t="s">
        <v>1355</v>
      </c>
      <c r="D505" s="81" t="s">
        <v>3391</v>
      </c>
      <c r="E505" s="81" t="s">
        <v>2762</v>
      </c>
      <c r="F505" s="81" t="s">
        <v>2790</v>
      </c>
      <c r="G505" s="84"/>
      <c r="H505" s="85"/>
      <c r="I505" s="85"/>
      <c r="J505" s="85"/>
      <c r="K505" s="85"/>
      <c r="L505" s="86"/>
    </row>
    <row r="506" spans="1:12" x14ac:dyDescent="0.2">
      <c r="A506" s="81" t="s">
        <v>1594</v>
      </c>
      <c r="B506" s="81" t="s">
        <v>1595</v>
      </c>
      <c r="C506" s="81" t="s">
        <v>1593</v>
      </c>
      <c r="D506" s="81" t="s">
        <v>3392</v>
      </c>
      <c r="E506" s="81" t="s">
        <v>2786</v>
      </c>
      <c r="F506" s="81" t="s">
        <v>2832</v>
      </c>
      <c r="G506" s="84"/>
      <c r="H506" s="85"/>
      <c r="I506" s="85"/>
      <c r="J506" s="85"/>
      <c r="K506" s="85"/>
      <c r="L506" s="86"/>
    </row>
    <row r="507" spans="1:12" x14ac:dyDescent="0.2">
      <c r="A507" s="81" t="s">
        <v>1746</v>
      </c>
      <c r="B507" s="81" t="s">
        <v>1747</v>
      </c>
      <c r="C507" s="81" t="s">
        <v>1745</v>
      </c>
      <c r="D507" s="81" t="s">
        <v>3393</v>
      </c>
      <c r="E507" s="81" t="s">
        <v>2775</v>
      </c>
      <c r="F507" s="81" t="s">
        <v>2796</v>
      </c>
      <c r="G507" s="84"/>
      <c r="H507" s="85"/>
      <c r="I507" s="85"/>
      <c r="J507" s="85"/>
      <c r="K507" s="85"/>
      <c r="L507" s="86"/>
    </row>
    <row r="508" spans="1:12" x14ac:dyDescent="0.2">
      <c r="A508" s="81" t="s">
        <v>2091</v>
      </c>
      <c r="B508" s="81" t="s">
        <v>2092</v>
      </c>
      <c r="C508" s="81" t="s">
        <v>2090</v>
      </c>
      <c r="D508" s="81" t="s">
        <v>3330</v>
      </c>
      <c r="E508" s="81" t="s">
        <v>2780</v>
      </c>
      <c r="F508" s="81" t="s">
        <v>2820</v>
      </c>
      <c r="G508" s="84"/>
      <c r="H508" s="85"/>
      <c r="I508" s="85"/>
      <c r="J508" s="85"/>
      <c r="K508" s="85"/>
      <c r="L508" s="86"/>
    </row>
    <row r="509" spans="1:12" x14ac:dyDescent="0.2">
      <c r="A509" s="81" t="s">
        <v>2096</v>
      </c>
      <c r="B509" s="81" t="s">
        <v>2097</v>
      </c>
      <c r="C509" s="81" t="s">
        <v>2095</v>
      </c>
      <c r="D509" s="81" t="s">
        <v>3329</v>
      </c>
      <c r="E509" s="81" t="s">
        <v>2786</v>
      </c>
      <c r="F509" s="81" t="s">
        <v>2831</v>
      </c>
      <c r="G509" s="84"/>
      <c r="H509" s="85"/>
      <c r="I509" s="85"/>
      <c r="J509" s="85"/>
      <c r="K509" s="85"/>
      <c r="L509" s="86"/>
    </row>
    <row r="510" spans="1:12" x14ac:dyDescent="0.2">
      <c r="A510" s="81" t="s">
        <v>1609</v>
      </c>
      <c r="B510" s="81" t="s">
        <v>1546</v>
      </c>
      <c r="C510" s="81" t="s">
        <v>1608</v>
      </c>
      <c r="D510" s="81" t="s">
        <v>3329</v>
      </c>
      <c r="E510" s="81" t="s">
        <v>2786</v>
      </c>
      <c r="F510" s="81" t="s">
        <v>2831</v>
      </c>
      <c r="G510" s="84"/>
      <c r="H510" s="85"/>
      <c r="I510" s="85"/>
      <c r="J510" s="85"/>
      <c r="K510" s="85"/>
      <c r="L510" s="86"/>
    </row>
    <row r="511" spans="1:12" x14ac:dyDescent="0.2">
      <c r="A511" s="81" t="s">
        <v>1607</v>
      </c>
      <c r="B511" s="81" t="s">
        <v>1603</v>
      </c>
      <c r="C511" s="81" t="s">
        <v>1606</v>
      </c>
      <c r="D511" s="81" t="s">
        <v>3394</v>
      </c>
      <c r="E511" s="81" t="s">
        <v>2834</v>
      </c>
      <c r="F511" s="81" t="s">
        <v>2840</v>
      </c>
      <c r="G511" s="84"/>
      <c r="H511" s="85"/>
      <c r="I511" s="85"/>
      <c r="J511" s="85"/>
      <c r="K511" s="85"/>
      <c r="L511" s="86"/>
    </row>
    <row r="512" spans="1:12" x14ac:dyDescent="0.2">
      <c r="A512" s="81" t="s">
        <v>1602</v>
      </c>
      <c r="B512" s="81" t="s">
        <v>1603</v>
      </c>
      <c r="C512" s="81" t="s">
        <v>1601</v>
      </c>
      <c r="D512" s="81" t="s">
        <v>3394</v>
      </c>
      <c r="E512" s="81" t="s">
        <v>2834</v>
      </c>
      <c r="F512" s="81" t="s">
        <v>2840</v>
      </c>
      <c r="G512" s="84"/>
      <c r="H512" s="85"/>
      <c r="I512" s="85"/>
      <c r="J512" s="85"/>
      <c r="K512" s="85"/>
      <c r="L512" s="86"/>
    </row>
    <row r="513" spans="1:12" x14ac:dyDescent="0.2">
      <c r="A513" s="84" t="s">
        <v>1602</v>
      </c>
      <c r="B513" s="84" t="s">
        <v>1603</v>
      </c>
      <c r="C513" s="81" t="s">
        <v>2684</v>
      </c>
      <c r="D513" s="81" t="s">
        <v>3394</v>
      </c>
      <c r="E513" s="81" t="s">
        <v>2786</v>
      </c>
      <c r="F513" s="81" t="s">
        <v>2840</v>
      </c>
      <c r="G513" s="84"/>
      <c r="H513" s="85"/>
      <c r="I513" s="85"/>
      <c r="J513" s="85"/>
      <c r="K513" s="85"/>
      <c r="L513" s="86"/>
    </row>
    <row r="514" spans="1:12" x14ac:dyDescent="0.2">
      <c r="A514" s="84" t="s">
        <v>1602</v>
      </c>
      <c r="B514" s="84" t="s">
        <v>1603</v>
      </c>
      <c r="C514" s="81" t="s">
        <v>2685</v>
      </c>
      <c r="D514" s="81" t="s">
        <v>3394</v>
      </c>
      <c r="E514" s="81" t="s">
        <v>2834</v>
      </c>
      <c r="F514" s="81" t="s">
        <v>2840</v>
      </c>
      <c r="G514" s="84"/>
      <c r="H514" s="85"/>
      <c r="I514" s="85"/>
      <c r="J514" s="85"/>
      <c r="K514" s="85"/>
      <c r="L514" s="86"/>
    </row>
    <row r="515" spans="1:12" x14ac:dyDescent="0.2">
      <c r="A515" s="84" t="s">
        <v>1602</v>
      </c>
      <c r="B515" s="84" t="s">
        <v>1603</v>
      </c>
      <c r="C515" s="81" t="s">
        <v>2686</v>
      </c>
      <c r="D515" s="81" t="s">
        <v>3394</v>
      </c>
      <c r="E515" s="81" t="s">
        <v>2834</v>
      </c>
      <c r="F515" s="81" t="s">
        <v>2840</v>
      </c>
      <c r="G515" s="84"/>
      <c r="H515" s="85"/>
      <c r="I515" s="85"/>
      <c r="J515" s="85"/>
      <c r="K515" s="85"/>
      <c r="L515" s="86"/>
    </row>
    <row r="516" spans="1:12" x14ac:dyDescent="0.2">
      <c r="A516" s="81" t="s">
        <v>1513</v>
      </c>
      <c r="B516" s="81" t="s">
        <v>1514</v>
      </c>
      <c r="C516" s="81" t="s">
        <v>1512</v>
      </c>
      <c r="D516" s="81" t="s">
        <v>3355</v>
      </c>
      <c r="E516" s="81" t="s">
        <v>2786</v>
      </c>
      <c r="F516" s="81" t="s">
        <v>2793</v>
      </c>
      <c r="G516" s="84"/>
      <c r="H516" s="85"/>
      <c r="I516" s="85"/>
      <c r="J516" s="85"/>
      <c r="K516" s="85"/>
      <c r="L516" s="86"/>
    </row>
    <row r="517" spans="1:12" x14ac:dyDescent="0.2">
      <c r="A517" s="84" t="s">
        <v>1513</v>
      </c>
      <c r="B517" s="81" t="s">
        <v>2672</v>
      </c>
      <c r="C517" s="81" t="s">
        <v>2671</v>
      </c>
      <c r="D517" s="81" t="s">
        <v>3355</v>
      </c>
      <c r="E517" s="81" t="s">
        <v>2786</v>
      </c>
      <c r="F517" s="81" t="s">
        <v>2793</v>
      </c>
      <c r="G517" s="84"/>
      <c r="H517" s="85"/>
      <c r="I517" s="85"/>
      <c r="J517" s="85"/>
      <c r="K517" s="85"/>
      <c r="L517" s="86"/>
    </row>
    <row r="518" spans="1:12" x14ac:dyDescent="0.2">
      <c r="A518" s="84" t="s">
        <v>1513</v>
      </c>
      <c r="B518" s="84" t="s">
        <v>2672</v>
      </c>
      <c r="C518" s="81" t="s">
        <v>2673</v>
      </c>
      <c r="D518" s="81" t="s">
        <v>3355</v>
      </c>
      <c r="E518" s="81" t="s">
        <v>2786</v>
      </c>
      <c r="F518" s="81" t="s">
        <v>2793</v>
      </c>
      <c r="G518" s="84"/>
      <c r="H518" s="85"/>
      <c r="I518" s="85"/>
      <c r="J518" s="85"/>
      <c r="K518" s="85"/>
      <c r="L518" s="86"/>
    </row>
    <row r="519" spans="1:12" x14ac:dyDescent="0.2">
      <c r="A519" s="84" t="s">
        <v>1513</v>
      </c>
      <c r="B519" s="81" t="s">
        <v>2675</v>
      </c>
      <c r="C519" s="81" t="s">
        <v>2674</v>
      </c>
      <c r="D519" s="81" t="s">
        <v>3355</v>
      </c>
      <c r="E519" s="81" t="s">
        <v>2786</v>
      </c>
      <c r="F519" s="81" t="s">
        <v>2793</v>
      </c>
      <c r="G519" s="84"/>
      <c r="H519" s="85"/>
      <c r="I519" s="85"/>
      <c r="J519" s="85"/>
      <c r="K519" s="85"/>
      <c r="L519" s="86"/>
    </row>
    <row r="520" spans="1:12" x14ac:dyDescent="0.2">
      <c r="A520" s="81" t="s">
        <v>1516</v>
      </c>
      <c r="B520" s="81" t="s">
        <v>847</v>
      </c>
      <c r="C520" s="81" t="s">
        <v>1515</v>
      </c>
      <c r="D520" s="81" t="s">
        <v>3331</v>
      </c>
      <c r="E520" s="81" t="s">
        <v>2786</v>
      </c>
      <c r="F520" s="81" t="s">
        <v>2795</v>
      </c>
      <c r="G520" s="84"/>
      <c r="H520" s="85"/>
      <c r="I520" s="85"/>
      <c r="J520" s="85"/>
      <c r="K520" s="85"/>
      <c r="L520" s="86"/>
    </row>
    <row r="521" spans="1:12" x14ac:dyDescent="0.2">
      <c r="A521" s="81" t="s">
        <v>1508</v>
      </c>
      <c r="B521" s="81" t="s">
        <v>1509</v>
      </c>
      <c r="C521" s="81" t="s">
        <v>1507</v>
      </c>
      <c r="D521" s="81" t="s">
        <v>3395</v>
      </c>
      <c r="E521" s="81" t="s">
        <v>2786</v>
      </c>
      <c r="F521" s="81" t="s">
        <v>2830</v>
      </c>
      <c r="G521" s="84"/>
      <c r="H521" s="85"/>
      <c r="I521" s="85"/>
      <c r="J521" s="85"/>
      <c r="K521" s="85"/>
      <c r="L521" s="86"/>
    </row>
    <row r="522" spans="1:12" x14ac:dyDescent="0.2">
      <c r="A522" s="81" t="s">
        <v>2680</v>
      </c>
      <c r="B522" s="81" t="s">
        <v>1538</v>
      </c>
      <c r="C522" s="81" t="s">
        <v>2679</v>
      </c>
      <c r="D522" s="81" t="s">
        <v>3396</v>
      </c>
      <c r="E522" s="81" t="s">
        <v>2786</v>
      </c>
      <c r="F522" s="81" t="s">
        <v>2830</v>
      </c>
      <c r="G522" s="84"/>
      <c r="H522" s="85"/>
      <c r="I522" s="85"/>
      <c r="J522" s="85"/>
      <c r="K522" s="85"/>
      <c r="L522" s="86"/>
    </row>
    <row r="523" spans="1:12" x14ac:dyDescent="0.2">
      <c r="A523" s="81" t="s">
        <v>1545</v>
      </c>
      <c r="B523" s="81" t="s">
        <v>1546</v>
      </c>
      <c r="C523" s="81" t="s">
        <v>1544</v>
      </c>
      <c r="D523" s="81" t="s">
        <v>3329</v>
      </c>
      <c r="E523" s="81" t="s">
        <v>2786</v>
      </c>
      <c r="F523" s="81" t="s">
        <v>2831</v>
      </c>
      <c r="G523" s="84"/>
      <c r="H523" s="85"/>
      <c r="I523" s="85"/>
      <c r="J523" s="85"/>
      <c r="K523" s="85"/>
      <c r="L523" s="86"/>
    </row>
    <row r="524" spans="1:12" x14ac:dyDescent="0.2">
      <c r="A524" s="81" t="s">
        <v>1537</v>
      </c>
      <c r="B524" s="81" t="s">
        <v>1538</v>
      </c>
      <c r="C524" s="81" t="s">
        <v>1536</v>
      </c>
      <c r="D524" s="81" t="s">
        <v>3396</v>
      </c>
      <c r="E524" s="81" t="s">
        <v>2786</v>
      </c>
      <c r="F524" s="81" t="s">
        <v>2830</v>
      </c>
      <c r="G524" s="84"/>
      <c r="H524" s="85"/>
      <c r="I524" s="85"/>
      <c r="J524" s="85"/>
      <c r="K524" s="85"/>
      <c r="L524" s="86"/>
    </row>
    <row r="525" spans="1:12" x14ac:dyDescent="0.2">
      <c r="A525" s="84" t="s">
        <v>1537</v>
      </c>
      <c r="B525" s="84" t="s">
        <v>1538</v>
      </c>
      <c r="C525" s="81" t="s">
        <v>2678</v>
      </c>
      <c r="D525" s="81" t="s">
        <v>3396</v>
      </c>
      <c r="E525" s="81" t="s">
        <v>2786</v>
      </c>
      <c r="F525" s="81" t="s">
        <v>2830</v>
      </c>
      <c r="G525" s="84"/>
      <c r="H525" s="85"/>
      <c r="I525" s="85"/>
      <c r="J525" s="85"/>
      <c r="K525" s="85"/>
      <c r="L525" s="86"/>
    </row>
    <row r="526" spans="1:12" x14ac:dyDescent="0.2">
      <c r="A526" s="81" t="s">
        <v>1542</v>
      </c>
      <c r="B526" s="81" t="s">
        <v>1543</v>
      </c>
      <c r="C526" s="81" t="s">
        <v>1541</v>
      </c>
      <c r="D526" s="81" t="s">
        <v>3331</v>
      </c>
      <c r="E526" s="81" t="s">
        <v>2786</v>
      </c>
      <c r="F526" s="81" t="s">
        <v>2795</v>
      </c>
      <c r="G526" s="84"/>
      <c r="H526" s="85"/>
      <c r="I526" s="85"/>
      <c r="J526" s="85"/>
      <c r="K526" s="85"/>
      <c r="L526" s="86"/>
    </row>
    <row r="527" spans="1:12" x14ac:dyDescent="0.2">
      <c r="A527" s="81" t="s">
        <v>854</v>
      </c>
      <c r="B527" s="81" t="s">
        <v>855</v>
      </c>
      <c r="C527" s="81" t="s">
        <v>853</v>
      </c>
      <c r="D527" s="81" t="s">
        <v>3397</v>
      </c>
      <c r="E527" s="81" t="s">
        <v>2804</v>
      </c>
      <c r="F527" s="81" t="s">
        <v>2851</v>
      </c>
      <c r="G527" s="84"/>
      <c r="H527" s="85"/>
      <c r="I527" s="85"/>
      <c r="J527" s="85"/>
      <c r="K527" s="85"/>
      <c r="L527" s="86"/>
    </row>
    <row r="528" spans="1:12" x14ac:dyDescent="0.2">
      <c r="A528" s="81" t="s">
        <v>1662</v>
      </c>
      <c r="B528" s="81" t="s">
        <v>3093</v>
      </c>
      <c r="C528" s="81" t="s">
        <v>1661</v>
      </c>
      <c r="D528" s="81" t="s">
        <v>3351</v>
      </c>
      <c r="E528" s="81" t="s">
        <v>2834</v>
      </c>
      <c r="F528" s="81" t="s">
        <v>2840</v>
      </c>
      <c r="G528" s="84"/>
      <c r="H528" s="85"/>
      <c r="I528" s="85"/>
      <c r="J528" s="85"/>
      <c r="K528" s="85"/>
      <c r="L528" s="86"/>
    </row>
    <row r="529" spans="1:12" x14ac:dyDescent="0.2">
      <c r="A529" s="81" t="s">
        <v>1611</v>
      </c>
      <c r="B529" s="81" t="s">
        <v>1612</v>
      </c>
      <c r="C529" s="81" t="s">
        <v>1610</v>
      </c>
      <c r="D529" s="81" t="s">
        <v>3398</v>
      </c>
      <c r="E529" s="81" t="s">
        <v>2834</v>
      </c>
      <c r="F529" s="81" t="s">
        <v>2840</v>
      </c>
      <c r="G529" s="84"/>
      <c r="H529" s="85"/>
      <c r="I529" s="85"/>
      <c r="J529" s="85"/>
      <c r="K529" s="85"/>
      <c r="L529" s="86"/>
    </row>
    <row r="530" spans="1:12" x14ac:dyDescent="0.2">
      <c r="A530" s="81" t="s">
        <v>1652</v>
      </c>
      <c r="B530" s="81" t="s">
        <v>1653</v>
      </c>
      <c r="C530" s="81" t="s">
        <v>1651</v>
      </c>
      <c r="D530" s="81" t="s">
        <v>3399</v>
      </c>
      <c r="E530" s="81" t="s">
        <v>2834</v>
      </c>
      <c r="F530" s="81" t="s">
        <v>2852</v>
      </c>
      <c r="G530" s="84"/>
      <c r="H530" s="85"/>
      <c r="I530" s="85"/>
      <c r="J530" s="85"/>
      <c r="K530" s="85"/>
      <c r="L530" s="86"/>
    </row>
    <row r="531" spans="1:12" x14ac:dyDescent="0.2">
      <c r="A531" s="81" t="s">
        <v>2339</v>
      </c>
      <c r="B531" s="81" t="s">
        <v>2340</v>
      </c>
      <c r="C531" s="81" t="s">
        <v>2338</v>
      </c>
      <c r="D531" s="81" t="s">
        <v>3400</v>
      </c>
      <c r="E531" s="81" t="s">
        <v>2782</v>
      </c>
      <c r="F531" s="81" t="s">
        <v>2825</v>
      </c>
      <c r="G531" s="84"/>
      <c r="H531" s="85"/>
      <c r="I531" s="85"/>
      <c r="J531" s="85"/>
      <c r="K531" s="85"/>
      <c r="L531" s="86"/>
    </row>
    <row r="532" spans="1:12" x14ac:dyDescent="0.2">
      <c r="A532" s="81" t="s">
        <v>2343</v>
      </c>
      <c r="B532" s="81" t="s">
        <v>1133</v>
      </c>
      <c r="C532" s="81" t="s">
        <v>2342</v>
      </c>
      <c r="D532" s="81" t="s">
        <v>3380</v>
      </c>
      <c r="E532" s="81" t="s">
        <v>2782</v>
      </c>
      <c r="F532" s="81" t="s">
        <v>2839</v>
      </c>
      <c r="G532" s="84"/>
      <c r="H532" s="85"/>
      <c r="I532" s="85"/>
      <c r="J532" s="85"/>
      <c r="K532" s="85"/>
      <c r="L532" s="86"/>
    </row>
    <row r="533" spans="1:12" x14ac:dyDescent="0.2">
      <c r="A533" s="81" t="s">
        <v>2280</v>
      </c>
      <c r="B533" s="81" t="s">
        <v>2281</v>
      </c>
      <c r="C533" s="81" t="s">
        <v>2279</v>
      </c>
      <c r="D533" s="81" t="s">
        <v>3401</v>
      </c>
      <c r="E533" s="81" t="s">
        <v>2782</v>
      </c>
      <c r="F533" s="81" t="s">
        <v>2825</v>
      </c>
      <c r="G533" s="84"/>
      <c r="H533" s="85"/>
      <c r="I533" s="85"/>
      <c r="J533" s="85"/>
      <c r="K533" s="85"/>
      <c r="L533" s="86"/>
    </row>
    <row r="534" spans="1:12" x14ac:dyDescent="0.2">
      <c r="A534" s="81" t="s">
        <v>3122</v>
      </c>
      <c r="B534" s="81" t="s">
        <v>3124</v>
      </c>
      <c r="C534" s="81" t="s">
        <v>3123</v>
      </c>
      <c r="D534" s="81" t="s">
        <v>3402</v>
      </c>
      <c r="E534" s="81" t="s">
        <v>2791</v>
      </c>
      <c r="F534" s="81" t="s">
        <v>2764</v>
      </c>
      <c r="G534" s="84"/>
      <c r="H534" s="85"/>
      <c r="I534" s="85"/>
      <c r="J534" s="85"/>
      <c r="K534" s="85"/>
      <c r="L534" s="86"/>
    </row>
    <row r="535" spans="1:12" x14ac:dyDescent="0.2">
      <c r="A535" s="81" t="s">
        <v>2295</v>
      </c>
      <c r="B535" s="81" t="s">
        <v>2296</v>
      </c>
      <c r="C535" s="81" t="s">
        <v>2294</v>
      </c>
      <c r="D535" s="81" t="s">
        <v>3207</v>
      </c>
      <c r="E535" s="81" t="s">
        <v>2782</v>
      </c>
      <c r="F535" s="81" t="s">
        <v>2784</v>
      </c>
      <c r="G535" s="84"/>
      <c r="H535" s="85"/>
      <c r="I535" s="85"/>
      <c r="J535" s="85"/>
      <c r="K535" s="85"/>
      <c r="L535" s="86"/>
    </row>
    <row r="536" spans="1:12" x14ac:dyDescent="0.2">
      <c r="A536" s="84" t="s">
        <v>2295</v>
      </c>
      <c r="B536" s="84" t="s">
        <v>2296</v>
      </c>
      <c r="C536" s="81" t="s">
        <v>2736</v>
      </c>
      <c r="D536" s="81" t="s">
        <v>3403</v>
      </c>
      <c r="E536" s="81" t="s">
        <v>2782</v>
      </c>
      <c r="F536" s="81" t="s">
        <v>2784</v>
      </c>
      <c r="G536" s="84"/>
      <c r="H536" s="85"/>
      <c r="I536" s="85"/>
      <c r="J536" s="85"/>
      <c r="K536" s="85"/>
      <c r="L536" s="86"/>
    </row>
    <row r="537" spans="1:12" x14ac:dyDescent="0.2">
      <c r="A537" s="81" t="s">
        <v>2298</v>
      </c>
      <c r="B537" s="81" t="s">
        <v>1992</v>
      </c>
      <c r="C537" s="81" t="s">
        <v>2297</v>
      </c>
      <c r="D537" s="81" t="s">
        <v>3404</v>
      </c>
      <c r="E537" s="81" t="s">
        <v>2782</v>
      </c>
      <c r="F537" s="81" t="s">
        <v>2784</v>
      </c>
      <c r="G537" s="84"/>
      <c r="H537" s="85"/>
      <c r="I537" s="85"/>
      <c r="J537" s="85"/>
      <c r="K537" s="85"/>
      <c r="L537" s="86"/>
    </row>
    <row r="538" spans="1:12" x14ac:dyDescent="0.2">
      <c r="A538" s="81" t="s">
        <v>1470</v>
      </c>
      <c r="B538" s="81" t="s">
        <v>839</v>
      </c>
      <c r="C538" s="81" t="s">
        <v>1469</v>
      </c>
      <c r="D538" s="81" t="s">
        <v>3188</v>
      </c>
      <c r="E538" s="81" t="s">
        <v>2767</v>
      </c>
      <c r="F538" s="81" t="s">
        <v>2768</v>
      </c>
      <c r="G538" s="84"/>
      <c r="H538" s="85"/>
      <c r="I538" s="85"/>
      <c r="J538" s="85"/>
      <c r="K538" s="85"/>
      <c r="L538" s="86"/>
    </row>
    <row r="539" spans="1:12" x14ac:dyDescent="0.2">
      <c r="A539" s="81" t="s">
        <v>1468</v>
      </c>
      <c r="B539" s="81" t="s">
        <v>954</v>
      </c>
      <c r="C539" s="81" t="s">
        <v>1467</v>
      </c>
      <c r="D539" s="81" t="s">
        <v>3187</v>
      </c>
      <c r="E539" s="81" t="s">
        <v>2759</v>
      </c>
      <c r="F539" s="81" t="s">
        <v>2760</v>
      </c>
      <c r="G539" s="84"/>
      <c r="H539" s="85"/>
      <c r="I539" s="85"/>
      <c r="J539" s="85"/>
      <c r="K539" s="85"/>
      <c r="L539" s="86"/>
    </row>
    <row r="540" spans="1:12" x14ac:dyDescent="0.2">
      <c r="A540" s="81" t="s">
        <v>1472</v>
      </c>
      <c r="B540" s="81" t="s">
        <v>842</v>
      </c>
      <c r="C540" s="81" t="s">
        <v>1471</v>
      </c>
      <c r="D540" s="81" t="s">
        <v>3190</v>
      </c>
      <c r="E540" s="81" t="s">
        <v>2759</v>
      </c>
      <c r="F540" s="81" t="s">
        <v>2760</v>
      </c>
      <c r="G540" s="84"/>
      <c r="H540" s="85"/>
      <c r="I540" s="85"/>
      <c r="J540" s="85"/>
      <c r="K540" s="85"/>
      <c r="L540" s="86"/>
    </row>
    <row r="541" spans="1:12" x14ac:dyDescent="0.2">
      <c r="A541" s="81" t="s">
        <v>1791</v>
      </c>
      <c r="B541" s="81" t="s">
        <v>1792</v>
      </c>
      <c r="C541" s="81" t="s">
        <v>1790</v>
      </c>
      <c r="D541" s="81" t="s">
        <v>3405</v>
      </c>
      <c r="E541" s="81" t="s">
        <v>2775</v>
      </c>
      <c r="F541" s="81" t="s">
        <v>2833</v>
      </c>
      <c r="G541" s="84"/>
      <c r="H541" s="85"/>
      <c r="I541" s="85"/>
      <c r="J541" s="85"/>
      <c r="K541" s="85"/>
      <c r="L541" s="86"/>
    </row>
    <row r="542" spans="1:12" x14ac:dyDescent="0.2">
      <c r="A542" s="81" t="s">
        <v>1523</v>
      </c>
      <c r="B542" s="81" t="s">
        <v>1524</v>
      </c>
      <c r="C542" s="81" t="s">
        <v>1522</v>
      </c>
      <c r="D542" s="81" t="s">
        <v>3406</v>
      </c>
      <c r="E542" s="81" t="s">
        <v>2786</v>
      </c>
      <c r="F542" s="81" t="s">
        <v>2787</v>
      </c>
      <c r="G542" s="84"/>
      <c r="H542" s="85"/>
      <c r="I542" s="85"/>
      <c r="J542" s="85"/>
      <c r="K542" s="85"/>
      <c r="L542" s="86"/>
    </row>
    <row r="543" spans="1:12" x14ac:dyDescent="0.2">
      <c r="A543" s="81" t="s">
        <v>1309</v>
      </c>
      <c r="B543" s="81" t="s">
        <v>1310</v>
      </c>
      <c r="C543" s="81" t="s">
        <v>1308</v>
      </c>
      <c r="D543" s="81" t="s">
        <v>3407</v>
      </c>
      <c r="E543" s="81" t="s">
        <v>2762</v>
      </c>
      <c r="F543" s="81" t="s">
        <v>2774</v>
      </c>
      <c r="G543" s="84"/>
      <c r="H543" s="85"/>
      <c r="I543" s="85"/>
      <c r="J543" s="85"/>
      <c r="K543" s="85"/>
      <c r="L543" s="86"/>
    </row>
    <row r="544" spans="1:12" x14ac:dyDescent="0.2">
      <c r="A544" s="81" t="s">
        <v>2300</v>
      </c>
      <c r="B544" s="81" t="s">
        <v>1543</v>
      </c>
      <c r="C544" s="81" t="s">
        <v>2299</v>
      </c>
      <c r="D544" s="81" t="s">
        <v>3331</v>
      </c>
      <c r="E544" s="81" t="s">
        <v>2786</v>
      </c>
      <c r="F544" s="81" t="s">
        <v>2795</v>
      </c>
      <c r="G544" s="84"/>
      <c r="H544" s="85"/>
      <c r="I544" s="85"/>
      <c r="J544" s="85"/>
      <c r="K544" s="85"/>
      <c r="L544" s="86"/>
    </row>
    <row r="545" spans="1:12" x14ac:dyDescent="0.2">
      <c r="A545" s="81" t="s">
        <v>1642</v>
      </c>
      <c r="B545" s="81" t="s">
        <v>1643</v>
      </c>
      <c r="C545" s="81" t="s">
        <v>1641</v>
      </c>
      <c r="D545" s="81" t="s">
        <v>3408</v>
      </c>
      <c r="E545" s="81" t="s">
        <v>2834</v>
      </c>
      <c r="F545" s="81" t="s">
        <v>2852</v>
      </c>
      <c r="G545" s="84"/>
      <c r="H545" s="85"/>
      <c r="I545" s="85"/>
      <c r="J545" s="85"/>
      <c r="K545" s="85"/>
      <c r="L545" s="86"/>
    </row>
    <row r="546" spans="1:12" x14ac:dyDescent="0.2">
      <c r="A546" s="81" t="s">
        <v>2462</v>
      </c>
      <c r="B546" s="81" t="s">
        <v>2463</v>
      </c>
      <c r="C546" s="81" t="s">
        <v>2461</v>
      </c>
      <c r="D546" s="81" t="s">
        <v>3409</v>
      </c>
      <c r="E546" s="81" t="s">
        <v>2791</v>
      </c>
      <c r="F546" s="81" t="s">
        <v>2809</v>
      </c>
      <c r="G546" s="84"/>
      <c r="H546" s="85"/>
      <c r="I546" s="85"/>
      <c r="J546" s="85"/>
      <c r="K546" s="85"/>
      <c r="L546" s="86"/>
    </row>
    <row r="547" spans="1:12" x14ac:dyDescent="0.2">
      <c r="A547" s="81" t="s">
        <v>2379</v>
      </c>
      <c r="B547" s="81" t="s">
        <v>2380</v>
      </c>
      <c r="C547" s="81" t="s">
        <v>2378</v>
      </c>
      <c r="D547" s="81" t="s">
        <v>3360</v>
      </c>
      <c r="E547" s="81" t="s">
        <v>2791</v>
      </c>
      <c r="F547" s="81" t="s">
        <v>2812</v>
      </c>
      <c r="G547" s="84"/>
      <c r="H547" s="85"/>
      <c r="I547" s="85"/>
      <c r="J547" s="85"/>
      <c r="K547" s="85"/>
      <c r="L547" s="86"/>
    </row>
    <row r="548" spans="1:12" x14ac:dyDescent="0.2">
      <c r="A548" s="81" t="s">
        <v>2443</v>
      </c>
      <c r="B548" s="81" t="s">
        <v>3138</v>
      </c>
      <c r="C548" s="81" t="s">
        <v>2442</v>
      </c>
      <c r="D548" s="81" t="s">
        <v>3359</v>
      </c>
      <c r="E548" s="81" t="s">
        <v>2791</v>
      </c>
      <c r="F548" s="81" t="s">
        <v>2824</v>
      </c>
      <c r="G548" s="84"/>
      <c r="H548" s="85"/>
      <c r="I548" s="85"/>
      <c r="J548" s="85"/>
      <c r="K548" s="85"/>
      <c r="L548" s="86"/>
    </row>
    <row r="549" spans="1:12" x14ac:dyDescent="0.2">
      <c r="A549" s="81" t="s">
        <v>2429</v>
      </c>
      <c r="B549" s="81" t="s">
        <v>2430</v>
      </c>
      <c r="C549" s="81" t="s">
        <v>2428</v>
      </c>
      <c r="D549" s="81" t="s">
        <v>3409</v>
      </c>
      <c r="E549" s="81" t="s">
        <v>2791</v>
      </c>
      <c r="F549" s="81" t="s">
        <v>2809</v>
      </c>
      <c r="G549" s="84"/>
      <c r="H549" s="85"/>
      <c r="I549" s="85"/>
      <c r="J549" s="85"/>
      <c r="K549" s="85"/>
      <c r="L549" s="86"/>
    </row>
    <row r="550" spans="1:12" x14ac:dyDescent="0.2">
      <c r="A550" s="81" t="s">
        <v>2382</v>
      </c>
      <c r="B550" s="81" t="s">
        <v>1995</v>
      </c>
      <c r="C550" s="81" t="s">
        <v>2381</v>
      </c>
      <c r="D550" s="81" t="s">
        <v>3350</v>
      </c>
      <c r="E550" s="81" t="s">
        <v>2791</v>
      </c>
      <c r="F550" s="81" t="s">
        <v>2809</v>
      </c>
      <c r="G550" s="84"/>
      <c r="H550" s="85"/>
      <c r="I550" s="85"/>
      <c r="J550" s="85"/>
      <c r="K550" s="85"/>
      <c r="L550" s="86"/>
    </row>
    <row r="551" spans="1:12" x14ac:dyDescent="0.2">
      <c r="A551" s="81" t="s">
        <v>1448</v>
      </c>
      <c r="B551" s="81" t="s">
        <v>1449</v>
      </c>
      <c r="C551" s="81" t="s">
        <v>1447</v>
      </c>
      <c r="D551" s="81" t="s">
        <v>3410</v>
      </c>
      <c r="E551" s="81" t="s">
        <v>2762</v>
      </c>
      <c r="F551" s="81" t="s">
        <v>2790</v>
      </c>
      <c r="G551" s="84"/>
      <c r="H551" s="85"/>
      <c r="I551" s="85"/>
      <c r="J551" s="85"/>
      <c r="K551" s="85"/>
      <c r="L551" s="86"/>
    </row>
    <row r="552" spans="1:12" x14ac:dyDescent="0.2">
      <c r="A552" s="81" t="s">
        <v>1360</v>
      </c>
      <c r="B552" s="81" t="s">
        <v>1361</v>
      </c>
      <c r="C552" s="81" t="s">
        <v>1359</v>
      </c>
      <c r="D552" s="81" t="s">
        <v>3411</v>
      </c>
      <c r="E552" s="81" t="s">
        <v>2762</v>
      </c>
      <c r="F552" s="81" t="s">
        <v>2765</v>
      </c>
      <c r="G552" s="84"/>
      <c r="H552" s="85"/>
      <c r="I552" s="85"/>
      <c r="J552" s="85"/>
      <c r="K552" s="85"/>
      <c r="L552" s="86"/>
    </row>
    <row r="553" spans="1:12" x14ac:dyDescent="0.2">
      <c r="A553" s="81" t="s">
        <v>1562</v>
      </c>
      <c r="B553" s="81" t="s">
        <v>1563</v>
      </c>
      <c r="C553" s="81" t="s">
        <v>1561</v>
      </c>
      <c r="D553" s="81" t="s">
        <v>3412</v>
      </c>
      <c r="E553" s="81" t="s">
        <v>2786</v>
      </c>
      <c r="F553" s="81" t="s">
        <v>2848</v>
      </c>
      <c r="G553" s="84"/>
      <c r="H553" s="85"/>
      <c r="I553" s="85"/>
      <c r="J553" s="85"/>
      <c r="K553" s="85"/>
      <c r="L553" s="86"/>
    </row>
    <row r="554" spans="1:12" x14ac:dyDescent="0.2">
      <c r="A554" s="84" t="s">
        <v>1562</v>
      </c>
      <c r="B554" s="84" t="s">
        <v>1563</v>
      </c>
      <c r="C554" s="81" t="s">
        <v>2681</v>
      </c>
      <c r="D554" s="81" t="s">
        <v>3412</v>
      </c>
      <c r="E554" s="81" t="s">
        <v>2786</v>
      </c>
      <c r="F554" s="81" t="s">
        <v>2848</v>
      </c>
      <c r="G554" s="84"/>
      <c r="H554" s="85"/>
      <c r="I554" s="85"/>
      <c r="J554" s="85"/>
      <c r="K554" s="85"/>
      <c r="L554" s="86"/>
    </row>
    <row r="555" spans="1:12" x14ac:dyDescent="0.2">
      <c r="A555" s="84" t="s">
        <v>1562</v>
      </c>
      <c r="B555" s="84" t="s">
        <v>1563</v>
      </c>
      <c r="C555" s="81" t="s">
        <v>2682</v>
      </c>
      <c r="D555" s="81" t="s">
        <v>3412</v>
      </c>
      <c r="E555" s="81" t="s">
        <v>2786</v>
      </c>
      <c r="F555" s="81" t="s">
        <v>2848</v>
      </c>
      <c r="G555" s="84"/>
      <c r="H555" s="85"/>
      <c r="I555" s="85"/>
      <c r="J555" s="85"/>
      <c r="K555" s="85"/>
      <c r="L555" s="86"/>
    </row>
    <row r="556" spans="1:12" x14ac:dyDescent="0.2">
      <c r="A556" s="81" t="s">
        <v>1090</v>
      </c>
      <c r="B556" s="81" t="s">
        <v>964</v>
      </c>
      <c r="C556" s="81" t="s">
        <v>1089</v>
      </c>
      <c r="D556" s="81" t="s">
        <v>3220</v>
      </c>
      <c r="E556" s="81" t="s">
        <v>2759</v>
      </c>
      <c r="F556" s="81" t="s">
        <v>2761</v>
      </c>
      <c r="G556" s="84"/>
      <c r="H556" s="85"/>
      <c r="I556" s="85"/>
      <c r="J556" s="85"/>
      <c r="K556" s="85"/>
      <c r="L556" s="86"/>
    </row>
    <row r="557" spans="1:12" x14ac:dyDescent="0.2">
      <c r="A557" s="81" t="s">
        <v>1094</v>
      </c>
      <c r="B557" s="81" t="s">
        <v>973</v>
      </c>
      <c r="C557" s="81" t="s">
        <v>1093</v>
      </c>
      <c r="D557" s="81" t="s">
        <v>3285</v>
      </c>
      <c r="E557" s="81" t="s">
        <v>2767</v>
      </c>
      <c r="F557" s="81" t="s">
        <v>2816</v>
      </c>
      <c r="G557" s="84"/>
      <c r="H557" s="85"/>
      <c r="I557" s="85"/>
      <c r="J557" s="85"/>
      <c r="K557" s="85"/>
      <c r="L557" s="86"/>
    </row>
    <row r="558" spans="1:12" x14ac:dyDescent="0.2">
      <c r="A558" s="81" t="s">
        <v>1092</v>
      </c>
      <c r="B558" s="81" t="s">
        <v>969</v>
      </c>
      <c r="C558" s="81" t="s">
        <v>1091</v>
      </c>
      <c r="D558" s="81" t="s">
        <v>3228</v>
      </c>
      <c r="E558" s="81" t="s">
        <v>2759</v>
      </c>
      <c r="F558" s="81" t="s">
        <v>2760</v>
      </c>
      <c r="G558" s="84"/>
      <c r="H558" s="85"/>
      <c r="I558" s="85"/>
      <c r="J558" s="85"/>
      <c r="K558" s="85"/>
      <c r="L558" s="86"/>
    </row>
    <row r="559" spans="1:12" x14ac:dyDescent="0.2">
      <c r="A559" s="81" t="s">
        <v>1088</v>
      </c>
      <c r="B559" s="81" t="s">
        <v>954</v>
      </c>
      <c r="C559" s="81" t="s">
        <v>1087</v>
      </c>
      <c r="D559" s="81" t="s">
        <v>3187</v>
      </c>
      <c r="E559" s="81" t="s">
        <v>2759</v>
      </c>
      <c r="F559" s="81" t="s">
        <v>2760</v>
      </c>
      <c r="G559" s="84"/>
      <c r="H559" s="85"/>
      <c r="I559" s="85"/>
      <c r="J559" s="85"/>
      <c r="K559" s="85"/>
      <c r="L559" s="86"/>
    </row>
    <row r="560" spans="1:12" x14ac:dyDescent="0.2">
      <c r="A560" s="81" t="s">
        <v>1437</v>
      </c>
      <c r="B560" s="81" t="s">
        <v>1438</v>
      </c>
      <c r="C560" s="81" t="s">
        <v>1436</v>
      </c>
      <c r="D560" s="81" t="s">
        <v>3413</v>
      </c>
      <c r="E560" s="81" t="s">
        <v>2762</v>
      </c>
      <c r="F560" s="81" t="s">
        <v>2774</v>
      </c>
      <c r="G560" s="84"/>
      <c r="H560" s="85"/>
      <c r="I560" s="85"/>
      <c r="J560" s="85"/>
      <c r="K560" s="85"/>
      <c r="L560" s="86"/>
    </row>
    <row r="561" spans="1:12" x14ac:dyDescent="0.2">
      <c r="A561" s="81" t="s">
        <v>2446</v>
      </c>
      <c r="B561" s="81" t="s">
        <v>2447</v>
      </c>
      <c r="C561" s="81" t="s">
        <v>2445</v>
      </c>
      <c r="D561" s="81" t="s">
        <v>3414</v>
      </c>
      <c r="E561" s="81" t="s">
        <v>2791</v>
      </c>
      <c r="F561" s="81" t="s">
        <v>2812</v>
      </c>
      <c r="G561" s="84"/>
      <c r="H561" s="85"/>
      <c r="I561" s="85"/>
      <c r="J561" s="85"/>
      <c r="K561" s="85"/>
      <c r="L561" s="86"/>
    </row>
    <row r="562" spans="1:12" x14ac:dyDescent="0.2">
      <c r="A562" s="81" t="s">
        <v>1413</v>
      </c>
      <c r="B562" s="81" t="s">
        <v>1414</v>
      </c>
      <c r="C562" s="81" t="s">
        <v>1412</v>
      </c>
      <c r="D562" s="81" t="s">
        <v>3415</v>
      </c>
      <c r="E562" s="81" t="s">
        <v>2762</v>
      </c>
      <c r="F562" s="81" t="s">
        <v>2853</v>
      </c>
      <c r="G562" s="84"/>
      <c r="H562" s="85"/>
      <c r="I562" s="85"/>
      <c r="J562" s="85"/>
      <c r="K562" s="85"/>
      <c r="L562" s="86"/>
    </row>
    <row r="563" spans="1:12" x14ac:dyDescent="0.2">
      <c r="A563" s="81" t="s">
        <v>2099</v>
      </c>
      <c r="B563" s="81" t="s">
        <v>2100</v>
      </c>
      <c r="C563" s="81" t="s">
        <v>2098</v>
      </c>
      <c r="D563" s="81" t="s">
        <v>3303</v>
      </c>
      <c r="E563" s="81" t="s">
        <v>2780</v>
      </c>
      <c r="F563" s="81" t="s">
        <v>2818</v>
      </c>
      <c r="G563" s="84"/>
      <c r="H563" s="85"/>
      <c r="I563" s="85"/>
      <c r="J563" s="85"/>
      <c r="K563" s="85"/>
      <c r="L563" s="86"/>
    </row>
    <row r="564" spans="1:12" x14ac:dyDescent="0.2">
      <c r="A564" s="81" t="s">
        <v>1967</v>
      </c>
      <c r="B564" s="81" t="s">
        <v>1968</v>
      </c>
      <c r="C564" s="81" t="s">
        <v>1966</v>
      </c>
      <c r="D564" s="81" t="s">
        <v>3295</v>
      </c>
      <c r="E564" s="81" t="s">
        <v>2770</v>
      </c>
      <c r="F564" s="81" t="s">
        <v>2789</v>
      </c>
      <c r="G564" s="84"/>
      <c r="H564" s="85"/>
      <c r="I564" s="85"/>
      <c r="J564" s="85"/>
      <c r="K564" s="85"/>
      <c r="L564" s="86"/>
    </row>
    <row r="565" spans="1:12" x14ac:dyDescent="0.2">
      <c r="A565" s="81" t="s">
        <v>1116</v>
      </c>
      <c r="B565" s="81" t="s">
        <v>1117</v>
      </c>
      <c r="C565" s="81" t="s">
        <v>1115</v>
      </c>
      <c r="D565" s="81" t="s">
        <v>3416</v>
      </c>
      <c r="E565" s="81" t="s">
        <v>2772</v>
      </c>
      <c r="F565" s="81" t="s">
        <v>2811</v>
      </c>
      <c r="G565" s="84"/>
      <c r="H565" s="85"/>
      <c r="I565" s="85"/>
      <c r="J565" s="85"/>
      <c r="K565" s="85"/>
      <c r="L565" s="86"/>
    </row>
    <row r="566" spans="1:12" x14ac:dyDescent="0.2">
      <c r="A566" s="81" t="s">
        <v>2591</v>
      </c>
      <c r="B566" s="81" t="s">
        <v>2592</v>
      </c>
      <c r="C566" s="81" t="s">
        <v>2590</v>
      </c>
      <c r="D566" s="81" t="s">
        <v>3417</v>
      </c>
      <c r="E566" s="81" t="s">
        <v>2772</v>
      </c>
      <c r="F566" s="81" t="s">
        <v>2803</v>
      </c>
      <c r="G566" s="84"/>
      <c r="H566" s="85"/>
      <c r="I566" s="85"/>
      <c r="J566" s="85"/>
      <c r="K566" s="85"/>
      <c r="L566" s="86"/>
    </row>
    <row r="567" spans="1:12" x14ac:dyDescent="0.2">
      <c r="A567" s="81" t="s">
        <v>2541</v>
      </c>
      <c r="B567" s="81" t="s">
        <v>2542</v>
      </c>
      <c r="C567" s="81" t="s">
        <v>2540</v>
      </c>
      <c r="D567" s="81" t="s">
        <v>3187</v>
      </c>
      <c r="E567" s="81" t="s">
        <v>2759</v>
      </c>
      <c r="F567" s="81" t="s">
        <v>2760</v>
      </c>
      <c r="G567" s="84"/>
      <c r="H567" s="85"/>
      <c r="I567" s="85"/>
      <c r="J567" s="85"/>
      <c r="K567" s="85"/>
      <c r="L567" s="86"/>
    </row>
    <row r="568" spans="1:12" x14ac:dyDescent="0.2">
      <c r="A568" s="81" t="s">
        <v>2575</v>
      </c>
      <c r="B568" s="81" t="s">
        <v>2576</v>
      </c>
      <c r="C568" s="81" t="s">
        <v>2574</v>
      </c>
      <c r="D568" s="81" t="s">
        <v>3418</v>
      </c>
      <c r="E568" s="81" t="s">
        <v>2791</v>
      </c>
      <c r="F568" s="81" t="s">
        <v>2812</v>
      </c>
      <c r="G568" s="84"/>
      <c r="H568" s="85"/>
      <c r="I568" s="85"/>
      <c r="J568" s="85"/>
      <c r="K568" s="85"/>
      <c r="L568" s="86"/>
    </row>
    <row r="569" spans="1:12" x14ac:dyDescent="0.2">
      <c r="A569" s="84" t="s">
        <v>2575</v>
      </c>
      <c r="B569" s="84" t="s">
        <v>2576</v>
      </c>
      <c r="C569" s="81" t="s">
        <v>2749</v>
      </c>
      <c r="D569" s="81" t="s">
        <v>3418</v>
      </c>
      <c r="E569" s="81" t="s">
        <v>2791</v>
      </c>
      <c r="F569" s="81" t="s">
        <v>2812</v>
      </c>
      <c r="G569" s="84"/>
      <c r="H569" s="85"/>
      <c r="I569" s="85"/>
      <c r="J569" s="85"/>
      <c r="K569" s="85"/>
      <c r="L569" s="86"/>
    </row>
    <row r="570" spans="1:12" x14ac:dyDescent="0.2">
      <c r="A570" s="81" t="s">
        <v>2578</v>
      </c>
      <c r="B570" s="81" t="s">
        <v>2012</v>
      </c>
      <c r="C570" s="81" t="s">
        <v>2577</v>
      </c>
      <c r="D570" s="81" t="s">
        <v>3269</v>
      </c>
      <c r="E570" s="81" t="s">
        <v>2791</v>
      </c>
      <c r="F570" s="81" t="s">
        <v>2764</v>
      </c>
      <c r="G570" s="84"/>
      <c r="H570" s="85"/>
      <c r="I570" s="85"/>
      <c r="J570" s="85"/>
      <c r="K570" s="85"/>
      <c r="L570" s="86"/>
    </row>
    <row r="571" spans="1:12" x14ac:dyDescent="0.2">
      <c r="A571" s="81" t="s">
        <v>2384</v>
      </c>
      <c r="B571" s="81" t="s">
        <v>2385</v>
      </c>
      <c r="C571" s="81" t="s">
        <v>2383</v>
      </c>
      <c r="D571" s="81" t="s">
        <v>3418</v>
      </c>
      <c r="E571" s="81" t="s">
        <v>2791</v>
      </c>
      <c r="F571" s="81" t="s">
        <v>2812</v>
      </c>
      <c r="G571" s="84"/>
      <c r="H571" s="85"/>
      <c r="I571" s="85"/>
      <c r="J571" s="85"/>
      <c r="K571" s="85"/>
      <c r="L571" s="86"/>
    </row>
    <row r="572" spans="1:12" x14ac:dyDescent="0.2">
      <c r="A572" s="84" t="s">
        <v>2384</v>
      </c>
      <c r="B572" s="84" t="s">
        <v>2385</v>
      </c>
      <c r="C572" s="81" t="s">
        <v>2747</v>
      </c>
      <c r="D572" s="81" t="s">
        <v>3418</v>
      </c>
      <c r="E572" s="81" t="s">
        <v>2791</v>
      </c>
      <c r="F572" s="81" t="s">
        <v>2812</v>
      </c>
      <c r="G572" s="84"/>
      <c r="H572" s="85"/>
      <c r="I572" s="85"/>
      <c r="J572" s="85"/>
      <c r="K572" s="85"/>
      <c r="L572" s="86"/>
    </row>
    <row r="573" spans="1:12" x14ac:dyDescent="0.2">
      <c r="A573" s="81" t="s">
        <v>2391</v>
      </c>
      <c r="B573" s="81" t="s">
        <v>1987</v>
      </c>
      <c r="C573" s="81" t="s">
        <v>2390</v>
      </c>
      <c r="D573" s="81" t="s">
        <v>3222</v>
      </c>
      <c r="E573" s="81" t="s">
        <v>2782</v>
      </c>
      <c r="F573" s="81" t="s">
        <v>2783</v>
      </c>
      <c r="G573" s="84"/>
      <c r="H573" s="85"/>
      <c r="I573" s="85"/>
      <c r="J573" s="85"/>
      <c r="K573" s="85"/>
      <c r="L573" s="86"/>
    </row>
    <row r="574" spans="1:12" x14ac:dyDescent="0.2">
      <c r="A574" s="81" t="s">
        <v>2393</v>
      </c>
      <c r="B574" s="81" t="s">
        <v>2303</v>
      </c>
      <c r="C574" s="81" t="s">
        <v>2392</v>
      </c>
      <c r="D574" s="81" t="s">
        <v>3265</v>
      </c>
      <c r="E574" s="81" t="s">
        <v>2791</v>
      </c>
      <c r="F574" s="81" t="s">
        <v>2809</v>
      </c>
      <c r="G574" s="84"/>
      <c r="H574" s="85"/>
      <c r="I574" s="85"/>
      <c r="J574" s="85"/>
      <c r="K574" s="85"/>
      <c r="L574" s="86"/>
    </row>
    <row r="575" spans="1:12" x14ac:dyDescent="0.2">
      <c r="A575" s="81" t="s">
        <v>2389</v>
      </c>
      <c r="B575" s="81" t="s">
        <v>1487</v>
      </c>
      <c r="C575" s="81" t="s">
        <v>2388</v>
      </c>
      <c r="D575" s="81" t="s">
        <v>3223</v>
      </c>
      <c r="E575" s="81" t="s">
        <v>2791</v>
      </c>
      <c r="F575" s="81" t="s">
        <v>2764</v>
      </c>
      <c r="G575" s="84"/>
      <c r="H575" s="85"/>
      <c r="I575" s="85"/>
      <c r="J575" s="85"/>
      <c r="K575" s="85"/>
      <c r="L575" s="86"/>
    </row>
    <row r="576" spans="1:12" x14ac:dyDescent="0.2">
      <c r="A576" s="81" t="s">
        <v>3133</v>
      </c>
      <c r="B576" s="81" t="s">
        <v>3135</v>
      </c>
      <c r="C576" s="81" t="s">
        <v>3134</v>
      </c>
      <c r="D576" s="81" t="s">
        <v>3419</v>
      </c>
      <c r="E576" s="81" t="s">
        <v>2786</v>
      </c>
      <c r="F576" s="81" t="s">
        <v>2795</v>
      </c>
      <c r="G576" s="84"/>
      <c r="H576" s="85"/>
      <c r="I576" s="85"/>
      <c r="J576" s="85"/>
      <c r="K576" s="85"/>
      <c r="L576" s="86"/>
    </row>
    <row r="577" spans="1:12" x14ac:dyDescent="0.2">
      <c r="A577" s="81" t="s">
        <v>933</v>
      </c>
      <c r="B577" s="81" t="s">
        <v>934</v>
      </c>
      <c r="C577" s="81" t="s">
        <v>932</v>
      </c>
      <c r="D577" s="81" t="s">
        <v>3420</v>
      </c>
      <c r="E577" s="81" t="s">
        <v>2804</v>
      </c>
      <c r="F577" s="81" t="s">
        <v>2764</v>
      </c>
      <c r="G577" s="84"/>
      <c r="H577" s="85"/>
      <c r="I577" s="85"/>
      <c r="J577" s="85"/>
      <c r="K577" s="85"/>
      <c r="L577" s="86"/>
    </row>
    <row r="578" spans="1:12" x14ac:dyDescent="0.2">
      <c r="A578" s="81" t="s">
        <v>928</v>
      </c>
      <c r="B578" s="81" t="s">
        <v>929</v>
      </c>
      <c r="C578" s="81" t="s">
        <v>927</v>
      </c>
      <c r="D578" s="81" t="s">
        <v>3421</v>
      </c>
      <c r="E578" s="81" t="s">
        <v>2804</v>
      </c>
      <c r="F578" s="81" t="s">
        <v>2764</v>
      </c>
      <c r="G578" s="84"/>
      <c r="H578" s="85"/>
      <c r="I578" s="85"/>
      <c r="J578" s="85"/>
      <c r="K578" s="85"/>
      <c r="L578" s="86"/>
    </row>
    <row r="579" spans="1:12" x14ac:dyDescent="0.2">
      <c r="A579" s="81" t="s">
        <v>3080</v>
      </c>
      <c r="B579" s="81" t="s">
        <v>1419</v>
      </c>
      <c r="C579" s="81" t="s">
        <v>1417</v>
      </c>
      <c r="D579" s="81" t="s">
        <v>3242</v>
      </c>
      <c r="E579" s="81" t="s">
        <v>2762</v>
      </c>
      <c r="F579" s="81" t="s">
        <v>2769</v>
      </c>
      <c r="G579" s="84"/>
      <c r="H579" s="85"/>
      <c r="I579" s="85"/>
      <c r="J579" s="85"/>
      <c r="K579" s="85"/>
      <c r="L579" s="86"/>
    </row>
    <row r="580" spans="1:12" x14ac:dyDescent="0.2">
      <c r="A580" s="81" t="s">
        <v>1200</v>
      </c>
      <c r="B580" s="81" t="s">
        <v>1201</v>
      </c>
      <c r="C580" s="81" t="s">
        <v>1199</v>
      </c>
      <c r="D580" s="81" t="s">
        <v>3422</v>
      </c>
      <c r="E580" s="81" t="s">
        <v>2772</v>
      </c>
      <c r="F580" s="81" t="s">
        <v>2764</v>
      </c>
      <c r="G580" s="84"/>
      <c r="H580" s="85"/>
      <c r="I580" s="85"/>
      <c r="J580" s="85"/>
      <c r="K580" s="85"/>
      <c r="L580" s="86"/>
    </row>
    <row r="581" spans="1:12" x14ac:dyDescent="0.2">
      <c r="A581" s="81" t="s">
        <v>1101</v>
      </c>
      <c r="B581" s="81" t="s">
        <v>1102</v>
      </c>
      <c r="C581" s="81" t="s">
        <v>1100</v>
      </c>
      <c r="D581" s="81" t="s">
        <v>3423</v>
      </c>
      <c r="E581" s="81" t="s">
        <v>2772</v>
      </c>
      <c r="F581" s="81" t="s">
        <v>2764</v>
      </c>
      <c r="G581" s="84"/>
      <c r="H581" s="85"/>
      <c r="I581" s="85"/>
      <c r="J581" s="85"/>
      <c r="K581" s="85"/>
      <c r="L581" s="86"/>
    </row>
    <row r="582" spans="1:12" x14ac:dyDescent="0.2">
      <c r="A582" s="81" t="s">
        <v>1106</v>
      </c>
      <c r="B582" s="81" t="s">
        <v>1107</v>
      </c>
      <c r="C582" s="81" t="s">
        <v>1105</v>
      </c>
      <c r="D582" s="81" t="s">
        <v>3424</v>
      </c>
      <c r="E582" s="81" t="s">
        <v>2772</v>
      </c>
      <c r="F582" s="81" t="s">
        <v>2764</v>
      </c>
      <c r="G582" s="84"/>
      <c r="H582" s="85"/>
      <c r="I582" s="85"/>
      <c r="J582" s="85"/>
      <c r="K582" s="85"/>
      <c r="L582" s="86"/>
    </row>
    <row r="583" spans="1:12" x14ac:dyDescent="0.2">
      <c r="A583" s="81" t="s">
        <v>1111</v>
      </c>
      <c r="B583" s="81" t="s">
        <v>1107</v>
      </c>
      <c r="C583" s="81" t="s">
        <v>1110</v>
      </c>
      <c r="D583" s="81" t="s">
        <v>3424</v>
      </c>
      <c r="E583" s="81" t="s">
        <v>2772</v>
      </c>
      <c r="F583" s="81" t="s">
        <v>2764</v>
      </c>
      <c r="G583" s="84"/>
      <c r="H583" s="85"/>
      <c r="I583" s="85"/>
      <c r="J583" s="85"/>
      <c r="K583" s="85"/>
      <c r="L583" s="86"/>
    </row>
    <row r="584" spans="1:12" x14ac:dyDescent="0.2">
      <c r="A584" s="81" t="s">
        <v>1175</v>
      </c>
      <c r="B584" s="81" t="s">
        <v>1176</v>
      </c>
      <c r="C584" s="81" t="s">
        <v>1174</v>
      </c>
      <c r="D584" s="81" t="s">
        <v>3425</v>
      </c>
      <c r="E584" s="81" t="s">
        <v>2772</v>
      </c>
      <c r="F584" s="81" t="s">
        <v>2764</v>
      </c>
      <c r="G584" s="84"/>
      <c r="H584" s="85"/>
      <c r="I584" s="85"/>
      <c r="J584" s="85"/>
      <c r="K584" s="85"/>
      <c r="L584" s="86"/>
    </row>
    <row r="585" spans="1:12" x14ac:dyDescent="0.2">
      <c r="A585" s="81" t="s">
        <v>1180</v>
      </c>
      <c r="B585" s="81" t="s">
        <v>1107</v>
      </c>
      <c r="C585" s="81" t="s">
        <v>1179</v>
      </c>
      <c r="D585" s="81" t="s">
        <v>3424</v>
      </c>
      <c r="E585" s="81" t="s">
        <v>2772</v>
      </c>
      <c r="F585" s="81" t="s">
        <v>2764</v>
      </c>
      <c r="G585" s="84"/>
      <c r="H585" s="85"/>
      <c r="I585" s="85"/>
      <c r="J585" s="85"/>
      <c r="K585" s="85"/>
      <c r="L585" s="86"/>
    </row>
    <row r="586" spans="1:12" x14ac:dyDescent="0.2">
      <c r="A586" s="81" t="s">
        <v>788</v>
      </c>
      <c r="B586" s="81" t="s">
        <v>789</v>
      </c>
      <c r="C586" s="81" t="s">
        <v>787</v>
      </c>
      <c r="D586" s="81" t="s">
        <v>3426</v>
      </c>
      <c r="E586" s="81" t="s">
        <v>2804</v>
      </c>
      <c r="F586" s="81" t="s">
        <v>2817</v>
      </c>
      <c r="G586" s="84"/>
      <c r="H586" s="85"/>
      <c r="I586" s="85"/>
      <c r="J586" s="85"/>
      <c r="K586" s="85"/>
      <c r="L586" s="86"/>
    </row>
    <row r="587" spans="1:12" x14ac:dyDescent="0.2">
      <c r="A587" s="81" t="s">
        <v>1736</v>
      </c>
      <c r="B587" s="81" t="s">
        <v>1737</v>
      </c>
      <c r="C587" s="81" t="s">
        <v>1735</v>
      </c>
      <c r="D587" s="81" t="s">
        <v>3427</v>
      </c>
      <c r="E587" s="81" t="s">
        <v>2775</v>
      </c>
      <c r="F587" s="81" t="s">
        <v>2854</v>
      </c>
      <c r="G587" s="84"/>
      <c r="H587" s="85"/>
      <c r="I587" s="85"/>
      <c r="J587" s="85"/>
      <c r="K587" s="85"/>
      <c r="L587" s="86"/>
    </row>
    <row r="588" spans="1:12" x14ac:dyDescent="0.2">
      <c r="A588" s="84" t="s">
        <v>1736</v>
      </c>
      <c r="B588" s="81" t="s">
        <v>2701</v>
      </c>
      <c r="C588" s="81" t="s">
        <v>2700</v>
      </c>
      <c r="D588" s="81" t="s">
        <v>3427</v>
      </c>
      <c r="E588" s="81" t="s">
        <v>2775</v>
      </c>
      <c r="F588" s="81" t="s">
        <v>2854</v>
      </c>
      <c r="G588" s="84"/>
      <c r="H588" s="85"/>
      <c r="I588" s="85"/>
      <c r="J588" s="85"/>
      <c r="K588" s="85"/>
      <c r="L588" s="86"/>
    </row>
    <row r="589" spans="1:12" x14ac:dyDescent="0.2">
      <c r="A589" s="84" t="s">
        <v>1736</v>
      </c>
      <c r="B589" s="84" t="s">
        <v>2701</v>
      </c>
      <c r="C589" s="81" t="s">
        <v>2702</v>
      </c>
      <c r="D589" s="81" t="s">
        <v>3427</v>
      </c>
      <c r="E589" s="81" t="s">
        <v>2775</v>
      </c>
      <c r="F589" s="81" t="s">
        <v>2854</v>
      </c>
      <c r="G589" s="84"/>
      <c r="H589" s="85"/>
      <c r="I589" s="85"/>
      <c r="J589" s="85"/>
      <c r="K589" s="85"/>
      <c r="L589" s="86"/>
    </row>
    <row r="590" spans="1:12" x14ac:dyDescent="0.2">
      <c r="A590" s="81" t="s">
        <v>1046</v>
      </c>
      <c r="B590" s="81" t="s">
        <v>1047</v>
      </c>
      <c r="C590" s="81" t="s">
        <v>1045</v>
      </c>
      <c r="D590" s="81" t="s">
        <v>3428</v>
      </c>
      <c r="E590" s="81" t="s">
        <v>2772</v>
      </c>
      <c r="F590" s="81" t="s">
        <v>2803</v>
      </c>
      <c r="G590" s="84"/>
      <c r="H590" s="85"/>
      <c r="I590" s="85"/>
      <c r="J590" s="85"/>
      <c r="K590" s="85"/>
      <c r="L590" s="86"/>
    </row>
    <row r="591" spans="1:12" x14ac:dyDescent="0.2">
      <c r="A591" s="81" t="s">
        <v>1060</v>
      </c>
      <c r="B591" s="81" t="s">
        <v>842</v>
      </c>
      <c r="C591" s="81" t="s">
        <v>1059</v>
      </c>
      <c r="D591" s="81" t="s">
        <v>3190</v>
      </c>
      <c r="E591" s="81" t="s">
        <v>2759</v>
      </c>
      <c r="F591" s="81" t="s">
        <v>2760</v>
      </c>
      <c r="G591" s="84"/>
      <c r="H591" s="85"/>
      <c r="I591" s="85"/>
      <c r="J591" s="85"/>
      <c r="K591" s="85"/>
      <c r="L591" s="86"/>
    </row>
    <row r="592" spans="1:12" x14ac:dyDescent="0.2">
      <c r="A592" s="81" t="s">
        <v>1053</v>
      </c>
      <c r="B592" s="81" t="s">
        <v>1054</v>
      </c>
      <c r="C592" s="81" t="s">
        <v>1052</v>
      </c>
      <c r="D592" s="81" t="s">
        <v>3189</v>
      </c>
      <c r="E592" s="81" t="s">
        <v>2762</v>
      </c>
      <c r="F592" s="81" t="s">
        <v>2766</v>
      </c>
      <c r="G592" s="84"/>
      <c r="H592" s="85"/>
      <c r="I592" s="85"/>
      <c r="J592" s="85"/>
      <c r="K592" s="85"/>
      <c r="L592" s="86"/>
    </row>
    <row r="593" spans="1:12" x14ac:dyDescent="0.2">
      <c r="A593" s="81" t="s">
        <v>1058</v>
      </c>
      <c r="B593" s="81" t="s">
        <v>826</v>
      </c>
      <c r="C593" s="81" t="s">
        <v>1057</v>
      </c>
      <c r="D593" s="81" t="s">
        <v>3186</v>
      </c>
      <c r="E593" s="81" t="s">
        <v>2762</v>
      </c>
      <c r="F593" s="81" t="s">
        <v>2763</v>
      </c>
      <c r="G593" s="84"/>
      <c r="H593" s="85"/>
      <c r="I593" s="85"/>
      <c r="J593" s="85"/>
      <c r="K593" s="85"/>
      <c r="L593" s="86"/>
    </row>
    <row r="594" spans="1:12" x14ac:dyDescent="0.2">
      <c r="A594" s="81" t="s">
        <v>1056</v>
      </c>
      <c r="B594" s="81" t="s">
        <v>821</v>
      </c>
      <c r="C594" s="81" t="s">
        <v>1055</v>
      </c>
      <c r="D594" s="81" t="s">
        <v>3236</v>
      </c>
      <c r="E594" s="81" t="s">
        <v>2762</v>
      </c>
      <c r="F594" s="81" t="s">
        <v>2774</v>
      </c>
      <c r="G594" s="84"/>
      <c r="H594" s="85"/>
      <c r="I594" s="85"/>
      <c r="J594" s="85"/>
      <c r="K594" s="85"/>
      <c r="L594" s="86"/>
    </row>
    <row r="595" spans="1:12" x14ac:dyDescent="0.2">
      <c r="A595" s="81" t="s">
        <v>1051</v>
      </c>
      <c r="B595" s="81" t="s">
        <v>997</v>
      </c>
      <c r="C595" s="81" t="s">
        <v>1050</v>
      </c>
      <c r="D595" s="81" t="s">
        <v>3247</v>
      </c>
      <c r="E595" s="81" t="s">
        <v>2762</v>
      </c>
      <c r="F595" s="81" t="s">
        <v>2763</v>
      </c>
      <c r="G595" s="84"/>
      <c r="H595" s="85"/>
      <c r="I595" s="85"/>
      <c r="J595" s="85"/>
      <c r="K595" s="85"/>
      <c r="L595" s="86"/>
    </row>
    <row r="596" spans="1:12" x14ac:dyDescent="0.2">
      <c r="A596" s="81" t="s">
        <v>1083</v>
      </c>
      <c r="B596" s="81" t="s">
        <v>1084</v>
      </c>
      <c r="C596" s="81" t="s">
        <v>1082</v>
      </c>
      <c r="D596" s="81" t="s">
        <v>3429</v>
      </c>
      <c r="E596" s="81" t="s">
        <v>2772</v>
      </c>
      <c r="F596" s="81" t="s">
        <v>2788</v>
      </c>
      <c r="G596" s="84"/>
      <c r="H596" s="85"/>
      <c r="I596" s="85"/>
      <c r="J596" s="85"/>
      <c r="K596" s="85"/>
      <c r="L596" s="86"/>
    </row>
    <row r="597" spans="1:12" x14ac:dyDescent="0.2">
      <c r="A597" s="84" t="s">
        <v>1083</v>
      </c>
      <c r="B597" s="84" t="s">
        <v>1084</v>
      </c>
      <c r="C597" s="81" t="s">
        <v>2595</v>
      </c>
      <c r="D597" s="81" t="s">
        <v>3429</v>
      </c>
      <c r="E597" s="81" t="s">
        <v>2772</v>
      </c>
      <c r="F597" s="81" t="s">
        <v>2788</v>
      </c>
      <c r="G597" s="84"/>
      <c r="H597" s="85"/>
      <c r="I597" s="85"/>
      <c r="J597" s="85"/>
      <c r="K597" s="85"/>
      <c r="L597" s="86"/>
    </row>
    <row r="598" spans="1:12" x14ac:dyDescent="0.2">
      <c r="A598" s="81" t="s">
        <v>943</v>
      </c>
      <c r="B598" s="81" t="s">
        <v>944</v>
      </c>
      <c r="C598" s="81" t="s">
        <v>942</v>
      </c>
      <c r="D598" s="81" t="s">
        <v>3388</v>
      </c>
      <c r="E598" s="81" t="s">
        <v>2772</v>
      </c>
      <c r="F598" s="81" t="s">
        <v>2806</v>
      </c>
      <c r="G598" s="84"/>
      <c r="H598" s="85"/>
      <c r="I598" s="85"/>
      <c r="J598" s="85"/>
      <c r="K598" s="85"/>
      <c r="L598" s="86"/>
    </row>
    <row r="599" spans="1:12" x14ac:dyDescent="0.2">
      <c r="A599" s="81" t="s">
        <v>793</v>
      </c>
      <c r="B599" s="81" t="s">
        <v>794</v>
      </c>
      <c r="C599" s="81" t="s">
        <v>792</v>
      </c>
      <c r="D599" s="81" t="s">
        <v>3430</v>
      </c>
      <c r="E599" s="81" t="s">
        <v>2804</v>
      </c>
      <c r="F599" s="81" t="s">
        <v>2845</v>
      </c>
      <c r="G599" s="84"/>
      <c r="H599" s="85"/>
      <c r="I599" s="85"/>
      <c r="J599" s="85"/>
      <c r="K599" s="85"/>
      <c r="L599" s="86"/>
    </row>
    <row r="600" spans="1:12" x14ac:dyDescent="0.2">
      <c r="A600" s="81" t="s">
        <v>838</v>
      </c>
      <c r="B600" s="81" t="s">
        <v>839</v>
      </c>
      <c r="C600" s="81" t="s">
        <v>837</v>
      </c>
      <c r="D600" s="81" t="s">
        <v>3188</v>
      </c>
      <c r="E600" s="81" t="s">
        <v>2767</v>
      </c>
      <c r="F600" s="81" t="s">
        <v>2768</v>
      </c>
      <c r="G600" s="84"/>
      <c r="H600" s="85"/>
      <c r="I600" s="85"/>
      <c r="J600" s="85"/>
      <c r="K600" s="85"/>
      <c r="L600" s="86"/>
    </row>
    <row r="601" spans="1:12" x14ac:dyDescent="0.2">
      <c r="A601" s="81" t="s">
        <v>1486</v>
      </c>
      <c r="B601" s="81" t="s">
        <v>1487</v>
      </c>
      <c r="C601" s="81" t="s">
        <v>1485</v>
      </c>
      <c r="D601" s="81" t="s">
        <v>3223</v>
      </c>
      <c r="E601" s="81" t="s">
        <v>2791</v>
      </c>
      <c r="F601" s="81" t="s">
        <v>1489</v>
      </c>
      <c r="G601" s="84"/>
      <c r="H601" s="85"/>
      <c r="I601" s="85"/>
      <c r="J601" s="85"/>
      <c r="K601" s="85"/>
      <c r="L601" s="86"/>
    </row>
    <row r="602" spans="1:12" x14ac:dyDescent="0.2">
      <c r="A602" s="81" t="s">
        <v>1479</v>
      </c>
      <c r="B602" s="81" t="s">
        <v>1480</v>
      </c>
      <c r="C602" s="81" t="s">
        <v>1478</v>
      </c>
      <c r="D602" s="81" t="s">
        <v>3242</v>
      </c>
      <c r="E602" s="81" t="s">
        <v>2762</v>
      </c>
      <c r="F602" s="81" t="s">
        <v>2769</v>
      </c>
      <c r="G602" s="84"/>
      <c r="H602" s="85"/>
      <c r="I602" s="85"/>
      <c r="J602" s="85"/>
      <c r="K602" s="85"/>
      <c r="L602" s="86"/>
    </row>
    <row r="603" spans="1:12" x14ac:dyDescent="0.2">
      <c r="A603" s="84" t="s">
        <v>1479</v>
      </c>
      <c r="B603" s="84" t="s">
        <v>1480</v>
      </c>
      <c r="C603" s="81" t="s">
        <v>2670</v>
      </c>
      <c r="D603" s="81" t="s">
        <v>3242</v>
      </c>
      <c r="E603" s="81" t="s">
        <v>2762</v>
      </c>
      <c r="F603" s="81" t="s">
        <v>2769</v>
      </c>
      <c r="G603" s="84"/>
      <c r="H603" s="85"/>
      <c r="I603" s="85"/>
      <c r="J603" s="85"/>
      <c r="K603" s="85"/>
      <c r="L603" s="86"/>
    </row>
    <row r="604" spans="1:12" x14ac:dyDescent="0.2">
      <c r="A604" s="81" t="s">
        <v>1484</v>
      </c>
      <c r="B604" s="81" t="s">
        <v>1322</v>
      </c>
      <c r="C604" s="81" t="s">
        <v>1483</v>
      </c>
      <c r="D604" s="81" t="s">
        <v>3235</v>
      </c>
      <c r="E604" s="81" t="s">
        <v>2762</v>
      </c>
      <c r="F604" s="81" t="s">
        <v>2769</v>
      </c>
      <c r="G604" s="84"/>
      <c r="H604" s="85"/>
      <c r="I604" s="85"/>
      <c r="J604" s="85"/>
      <c r="K604" s="85"/>
      <c r="L604" s="86"/>
    </row>
    <row r="605" spans="1:12" x14ac:dyDescent="0.2">
      <c r="A605" s="81" t="s">
        <v>1504</v>
      </c>
      <c r="B605" s="81" t="s">
        <v>3092</v>
      </c>
      <c r="C605" s="81" t="s">
        <v>1503</v>
      </c>
      <c r="D605" s="81" t="s">
        <v>3431</v>
      </c>
      <c r="E605" s="81" t="s">
        <v>2762</v>
      </c>
      <c r="F605" s="81" t="s">
        <v>2774</v>
      </c>
      <c r="G605" s="84"/>
      <c r="H605" s="85"/>
      <c r="I605" s="85"/>
      <c r="J605" s="85"/>
      <c r="K605" s="85"/>
      <c r="L605" s="86"/>
    </row>
    <row r="606" spans="1:12" x14ac:dyDescent="0.2">
      <c r="A606" s="81" t="s">
        <v>1429</v>
      </c>
      <c r="B606" s="81" t="s">
        <v>1430</v>
      </c>
      <c r="C606" s="81" t="s">
        <v>1428</v>
      </c>
      <c r="D606" s="81" t="s">
        <v>3184</v>
      </c>
      <c r="E606" s="81" t="s">
        <v>2762</v>
      </c>
      <c r="F606" s="81" t="s">
        <v>2764</v>
      </c>
      <c r="G606" s="84"/>
      <c r="H606" s="85"/>
      <c r="I606" s="85"/>
      <c r="J606" s="85"/>
      <c r="K606" s="85"/>
      <c r="L606" s="86"/>
    </row>
    <row r="607" spans="1:12" x14ac:dyDescent="0.2">
      <c r="A607" s="81" t="s">
        <v>1492</v>
      </c>
      <c r="B607" s="81" t="s">
        <v>1493</v>
      </c>
      <c r="C607" s="81" t="s">
        <v>1491</v>
      </c>
      <c r="D607" s="81" t="s">
        <v>3184</v>
      </c>
      <c r="E607" s="81" t="s">
        <v>2762</v>
      </c>
      <c r="F607" s="81" t="s">
        <v>2765</v>
      </c>
      <c r="G607" s="84"/>
      <c r="H607" s="85"/>
      <c r="I607" s="85"/>
      <c r="J607" s="85"/>
      <c r="K607" s="85"/>
      <c r="L607" s="86"/>
    </row>
    <row r="608" spans="1:12" x14ac:dyDescent="0.2">
      <c r="A608" s="81" t="s">
        <v>1460</v>
      </c>
      <c r="B608" s="81" t="s">
        <v>1461</v>
      </c>
      <c r="C608" s="81" t="s">
        <v>1459</v>
      </c>
      <c r="D608" s="81" t="s">
        <v>3432</v>
      </c>
      <c r="E608" s="81" t="s">
        <v>2762</v>
      </c>
      <c r="F608" s="81" t="s">
        <v>2764</v>
      </c>
      <c r="G608" s="84"/>
      <c r="H608" s="85"/>
      <c r="I608" s="85"/>
      <c r="J608" s="85"/>
      <c r="K608" s="85"/>
      <c r="L608" s="86"/>
    </row>
    <row r="609" spans="1:12" x14ac:dyDescent="0.2">
      <c r="A609" s="81" t="s">
        <v>1377</v>
      </c>
      <c r="B609" s="81" t="s">
        <v>1378</v>
      </c>
      <c r="C609" s="81" t="s">
        <v>1376</v>
      </c>
      <c r="D609" s="81" t="s">
        <v>3192</v>
      </c>
      <c r="E609" s="81" t="s">
        <v>2762</v>
      </c>
      <c r="F609" s="81" t="s">
        <v>2766</v>
      </c>
      <c r="G609" s="84"/>
      <c r="H609" s="85"/>
      <c r="I609" s="85"/>
      <c r="J609" s="85"/>
      <c r="K609" s="85"/>
      <c r="L609" s="86"/>
    </row>
    <row r="610" spans="1:12" x14ac:dyDescent="0.2">
      <c r="A610" s="84" t="s">
        <v>1377</v>
      </c>
      <c r="B610" s="81" t="s">
        <v>2666</v>
      </c>
      <c r="C610" s="81" t="s">
        <v>2665</v>
      </c>
      <c r="D610" s="81" t="s">
        <v>3192</v>
      </c>
      <c r="E610" s="81" t="s">
        <v>2762</v>
      </c>
      <c r="F610" s="81" t="s">
        <v>2766</v>
      </c>
      <c r="G610" s="84"/>
      <c r="H610" s="85"/>
      <c r="I610" s="85"/>
      <c r="J610" s="85"/>
      <c r="K610" s="85"/>
      <c r="L610" s="86"/>
    </row>
    <row r="611" spans="1:12" x14ac:dyDescent="0.2">
      <c r="A611" s="81" t="s">
        <v>1382</v>
      </c>
      <c r="B611" s="81" t="s">
        <v>1322</v>
      </c>
      <c r="C611" s="81" t="s">
        <v>1381</v>
      </c>
      <c r="D611" s="81" t="s">
        <v>3235</v>
      </c>
      <c r="E611" s="81" t="s">
        <v>2762</v>
      </c>
      <c r="F611" s="81" t="s">
        <v>2769</v>
      </c>
      <c r="G611" s="84"/>
      <c r="H611" s="85"/>
      <c r="I611" s="85"/>
      <c r="J611" s="85"/>
      <c r="K611" s="85"/>
      <c r="L611" s="86"/>
    </row>
    <row r="612" spans="1:12" x14ac:dyDescent="0.2">
      <c r="A612" s="81" t="s">
        <v>3109</v>
      </c>
      <c r="B612" s="81" t="s">
        <v>3111</v>
      </c>
      <c r="C612" s="81" t="s">
        <v>3110</v>
      </c>
      <c r="D612" s="81" t="s">
        <v>3433</v>
      </c>
      <c r="E612" s="81" t="s">
        <v>2780</v>
      </c>
      <c r="F612" s="81" t="s">
        <v>2820</v>
      </c>
      <c r="G612" s="84"/>
      <c r="H612" s="85"/>
      <c r="I612" s="85"/>
      <c r="J612" s="85"/>
      <c r="K612" s="85"/>
      <c r="L612" s="86"/>
    </row>
    <row r="613" spans="1:12" x14ac:dyDescent="0.2">
      <c r="A613" s="81" t="s">
        <v>2175</v>
      </c>
      <c r="B613" s="81" t="s">
        <v>2176</v>
      </c>
      <c r="C613" s="81" t="s">
        <v>2174</v>
      </c>
      <c r="D613" s="81" t="s">
        <v>3434</v>
      </c>
      <c r="E613" s="81" t="s">
        <v>2780</v>
      </c>
      <c r="F613" s="81" t="s">
        <v>2820</v>
      </c>
      <c r="G613" s="84"/>
      <c r="H613" s="85"/>
      <c r="I613" s="85"/>
      <c r="J613" s="85"/>
      <c r="K613" s="85"/>
      <c r="L613" s="86"/>
    </row>
    <row r="614" spans="1:12" x14ac:dyDescent="0.2">
      <c r="A614" s="81" t="s">
        <v>2167</v>
      </c>
      <c r="B614" s="81" t="s">
        <v>2168</v>
      </c>
      <c r="C614" s="81" t="s">
        <v>2166</v>
      </c>
      <c r="D614" s="81" t="s">
        <v>3433</v>
      </c>
      <c r="E614" s="81" t="s">
        <v>2780</v>
      </c>
      <c r="F614" s="81" t="s">
        <v>2781</v>
      </c>
      <c r="G614" s="84"/>
      <c r="H614" s="85"/>
      <c r="I614" s="85"/>
      <c r="J614" s="85"/>
      <c r="K614" s="85"/>
      <c r="L614" s="86"/>
    </row>
    <row r="615" spans="1:12" x14ac:dyDescent="0.2">
      <c r="A615" s="81" t="s">
        <v>1647</v>
      </c>
      <c r="B615" s="81" t="s">
        <v>1648</v>
      </c>
      <c r="C615" s="81" t="s">
        <v>1646</v>
      </c>
      <c r="D615" s="81" t="s">
        <v>3435</v>
      </c>
      <c r="E615" s="81" t="s">
        <v>2834</v>
      </c>
      <c r="F615" s="81" t="s">
        <v>2838</v>
      </c>
      <c r="G615" s="84"/>
      <c r="H615" s="85"/>
      <c r="I615" s="85"/>
      <c r="J615" s="85"/>
      <c r="K615" s="85"/>
      <c r="L615" s="86"/>
    </row>
    <row r="616" spans="1:12" x14ac:dyDescent="0.2">
      <c r="A616" s="84" t="s">
        <v>1647</v>
      </c>
      <c r="B616" s="84" t="s">
        <v>1648</v>
      </c>
      <c r="C616" s="81" t="s">
        <v>2692</v>
      </c>
      <c r="D616" s="81" t="s">
        <v>3435</v>
      </c>
      <c r="E616" s="81" t="s">
        <v>2834</v>
      </c>
      <c r="F616" s="81" t="s">
        <v>2838</v>
      </c>
      <c r="G616" s="84"/>
      <c r="H616" s="85"/>
      <c r="I616" s="85"/>
      <c r="J616" s="85"/>
      <c r="K616" s="85"/>
      <c r="L616" s="86"/>
    </row>
    <row r="617" spans="1:12" x14ac:dyDescent="0.2">
      <c r="A617" s="81" t="s">
        <v>720</v>
      </c>
      <c r="B617" s="81" t="s">
        <v>721</v>
      </c>
      <c r="C617" s="81" t="s">
        <v>719</v>
      </c>
      <c r="D617" s="81" t="s">
        <v>3436</v>
      </c>
      <c r="E617" s="81" t="s">
        <v>2804</v>
      </c>
      <c r="F617" s="81" t="s">
        <v>2811</v>
      </c>
      <c r="G617" s="84"/>
      <c r="H617" s="85"/>
      <c r="I617" s="85"/>
      <c r="J617" s="85"/>
      <c r="K617" s="85"/>
      <c r="L617" s="86"/>
    </row>
    <row r="618" spans="1:12" x14ac:dyDescent="0.2">
      <c r="A618" s="81" t="s">
        <v>918</v>
      </c>
      <c r="B618" s="81" t="s">
        <v>919</v>
      </c>
      <c r="C618" s="81" t="s">
        <v>917</v>
      </c>
      <c r="D618" s="81" t="s">
        <v>3437</v>
      </c>
      <c r="E618" s="81" t="s">
        <v>2804</v>
      </c>
      <c r="F618" s="81" t="s">
        <v>2764</v>
      </c>
      <c r="G618" s="84"/>
      <c r="H618" s="85"/>
      <c r="I618" s="85"/>
      <c r="J618" s="85"/>
      <c r="K618" s="85"/>
      <c r="L618" s="86"/>
    </row>
    <row r="619" spans="1:12" x14ac:dyDescent="0.2">
      <c r="A619" s="81" t="s">
        <v>1815</v>
      </c>
      <c r="B619" s="81" t="s">
        <v>1816</v>
      </c>
      <c r="C619" s="81" t="s">
        <v>1814</v>
      </c>
      <c r="D619" s="81" t="s">
        <v>3205</v>
      </c>
      <c r="E619" s="81" t="s">
        <v>2770</v>
      </c>
      <c r="F619" s="81" t="s">
        <v>2764</v>
      </c>
      <c r="G619" s="84"/>
      <c r="H619" s="85"/>
      <c r="I619" s="85"/>
      <c r="J619" s="85"/>
      <c r="K619" s="85"/>
      <c r="L619" s="86"/>
    </row>
    <row r="620" spans="1:12" x14ac:dyDescent="0.2">
      <c r="A620" s="81" t="s">
        <v>923</v>
      </c>
      <c r="B620" s="81" t="s">
        <v>924</v>
      </c>
      <c r="C620" s="81" t="s">
        <v>922</v>
      </c>
      <c r="D620" s="81" t="s">
        <v>3438</v>
      </c>
      <c r="E620" s="81" t="s">
        <v>2804</v>
      </c>
      <c r="F620" s="81" t="s">
        <v>2764</v>
      </c>
      <c r="G620" s="84"/>
      <c r="H620" s="85"/>
      <c r="I620" s="85"/>
      <c r="J620" s="85"/>
      <c r="K620" s="85"/>
      <c r="L620" s="86"/>
    </row>
    <row r="621" spans="1:12" x14ac:dyDescent="0.2">
      <c r="A621" s="81" t="s">
        <v>1518</v>
      </c>
      <c r="B621" s="81" t="s">
        <v>1519</v>
      </c>
      <c r="C621" s="81" t="s">
        <v>1517</v>
      </c>
      <c r="D621" s="81" t="s">
        <v>3439</v>
      </c>
      <c r="E621" s="81" t="s">
        <v>2786</v>
      </c>
      <c r="F621" s="81" t="s">
        <v>2848</v>
      </c>
      <c r="G621" s="84"/>
      <c r="H621" s="85"/>
      <c r="I621" s="85"/>
      <c r="J621" s="85"/>
      <c r="K621" s="85"/>
      <c r="L621" s="86"/>
    </row>
    <row r="622" spans="1:12" x14ac:dyDescent="0.2">
      <c r="A622" s="81" t="s">
        <v>1528</v>
      </c>
      <c r="B622" s="81" t="s">
        <v>1529</v>
      </c>
      <c r="C622" s="81" t="s">
        <v>1527</v>
      </c>
      <c r="D622" s="81" t="s">
        <v>3440</v>
      </c>
      <c r="E622" s="81" t="s">
        <v>2786</v>
      </c>
      <c r="F622" s="81" t="s">
        <v>2848</v>
      </c>
      <c r="G622" s="84"/>
      <c r="H622" s="85"/>
      <c r="I622" s="85"/>
      <c r="J622" s="85"/>
      <c r="K622" s="85"/>
      <c r="L622" s="86"/>
    </row>
    <row r="623" spans="1:12" x14ac:dyDescent="0.2">
      <c r="A623" s="81" t="s">
        <v>1751</v>
      </c>
      <c r="B623" s="81" t="s">
        <v>1752</v>
      </c>
      <c r="C623" s="81" t="s">
        <v>1750</v>
      </c>
      <c r="D623" s="81" t="s">
        <v>3441</v>
      </c>
      <c r="E623" s="81" t="s">
        <v>2775</v>
      </c>
      <c r="F623" s="81" t="s">
        <v>2833</v>
      </c>
      <c r="G623" s="84"/>
      <c r="H623" s="85"/>
      <c r="I623" s="85"/>
      <c r="J623" s="85"/>
      <c r="K623" s="85"/>
      <c r="L623" s="86"/>
    </row>
    <row r="624" spans="1:12" x14ac:dyDescent="0.2">
      <c r="A624" s="81" t="s">
        <v>2077</v>
      </c>
      <c r="B624" s="81" t="s">
        <v>2078</v>
      </c>
      <c r="C624" s="81" t="s">
        <v>2076</v>
      </c>
      <c r="D624" s="81" t="s">
        <v>3442</v>
      </c>
      <c r="E624" s="81" t="s">
        <v>2770</v>
      </c>
      <c r="F624" s="81" t="s">
        <v>2789</v>
      </c>
      <c r="G624" s="84"/>
      <c r="H624" s="85"/>
      <c r="I624" s="85"/>
      <c r="J624" s="85"/>
      <c r="K624" s="85"/>
      <c r="L624" s="86"/>
    </row>
    <row r="625" spans="1:12" x14ac:dyDescent="0.2">
      <c r="A625" s="81" t="s">
        <v>2695</v>
      </c>
      <c r="B625" s="81" t="s">
        <v>2696</v>
      </c>
      <c r="C625" s="81" t="s">
        <v>2694</v>
      </c>
      <c r="D625" s="81" t="s">
        <v>3251</v>
      </c>
      <c r="E625" s="81" t="s">
        <v>2775</v>
      </c>
      <c r="F625" s="81" t="s">
        <v>2801</v>
      </c>
      <c r="G625" s="84"/>
      <c r="H625" s="85"/>
      <c r="I625" s="85"/>
      <c r="J625" s="85"/>
      <c r="K625" s="85"/>
      <c r="L625" s="86"/>
    </row>
    <row r="626" spans="1:12" x14ac:dyDescent="0.2">
      <c r="A626" s="81" t="s">
        <v>2059</v>
      </c>
      <c r="B626" s="81" t="s">
        <v>2060</v>
      </c>
      <c r="C626" s="81" t="s">
        <v>2058</v>
      </c>
      <c r="D626" s="81" t="s">
        <v>3295</v>
      </c>
      <c r="E626" s="81" t="s">
        <v>2770</v>
      </c>
      <c r="F626" s="81" t="s">
        <v>2789</v>
      </c>
      <c r="G626" s="84"/>
      <c r="H626" s="85"/>
      <c r="I626" s="85"/>
      <c r="J626" s="85"/>
      <c r="K626" s="85"/>
      <c r="L626" s="86"/>
    </row>
    <row r="627" spans="1:12" x14ac:dyDescent="0.2">
      <c r="A627" s="81" t="s">
        <v>2038</v>
      </c>
      <c r="B627" s="81" t="s">
        <v>2039</v>
      </c>
      <c r="C627" s="81" t="s">
        <v>2037</v>
      </c>
      <c r="D627" s="81" t="s">
        <v>3340</v>
      </c>
      <c r="E627" s="81" t="s">
        <v>2770</v>
      </c>
      <c r="F627" s="81" t="s">
        <v>2789</v>
      </c>
      <c r="G627" s="84"/>
      <c r="H627" s="85"/>
      <c r="I627" s="85"/>
      <c r="J627" s="85"/>
      <c r="K627" s="85"/>
      <c r="L627" s="86"/>
    </row>
    <row r="628" spans="1:12" x14ac:dyDescent="0.2">
      <c r="A628" s="81" t="s">
        <v>1947</v>
      </c>
      <c r="B628" s="81" t="s">
        <v>1948</v>
      </c>
      <c r="C628" s="81" t="s">
        <v>1946</v>
      </c>
      <c r="D628" s="81" t="s">
        <v>3341</v>
      </c>
      <c r="E628" s="81" t="s">
        <v>2770</v>
      </c>
      <c r="F628" s="81" t="s">
        <v>2827</v>
      </c>
      <c r="G628" s="84"/>
      <c r="H628" s="85"/>
      <c r="I628" s="85"/>
      <c r="J628" s="85"/>
      <c r="K628" s="85"/>
      <c r="L628" s="86"/>
    </row>
    <row r="629" spans="1:12" x14ac:dyDescent="0.2">
      <c r="A629" s="81" t="s">
        <v>1870</v>
      </c>
      <c r="B629" s="81" t="s">
        <v>1871</v>
      </c>
      <c r="C629" s="81" t="s">
        <v>1869</v>
      </c>
      <c r="D629" s="81" t="s">
        <v>3443</v>
      </c>
      <c r="E629" s="81" t="s">
        <v>2770</v>
      </c>
      <c r="F629" s="81" t="s">
        <v>2827</v>
      </c>
      <c r="G629" s="84"/>
      <c r="H629" s="85"/>
      <c r="I629" s="85"/>
      <c r="J629" s="85"/>
      <c r="K629" s="85"/>
      <c r="L629" s="86"/>
    </row>
    <row r="630" spans="1:12" x14ac:dyDescent="0.2">
      <c r="A630" s="81" t="s">
        <v>3094</v>
      </c>
      <c r="B630" s="81" t="s">
        <v>1772</v>
      </c>
      <c r="C630" s="81" t="s">
        <v>1770</v>
      </c>
      <c r="D630" s="81" t="s">
        <v>3444</v>
      </c>
      <c r="E630" s="81" t="s">
        <v>2775</v>
      </c>
      <c r="F630" s="81" t="s">
        <v>2794</v>
      </c>
      <c r="G630" s="84"/>
      <c r="H630" s="85"/>
      <c r="I630" s="85"/>
      <c r="J630" s="85"/>
      <c r="K630" s="85"/>
      <c r="L630" s="86"/>
    </row>
    <row r="631" spans="1:12" x14ac:dyDescent="0.2">
      <c r="A631" s="81" t="s">
        <v>1062</v>
      </c>
      <c r="B631" s="81" t="s">
        <v>1063</v>
      </c>
      <c r="C631" s="81" t="s">
        <v>1061</v>
      </c>
      <c r="D631" s="81" t="s">
        <v>3445</v>
      </c>
      <c r="E631" s="81" t="s">
        <v>2772</v>
      </c>
      <c r="F631" s="81" t="s">
        <v>2807</v>
      </c>
      <c r="G631" s="84"/>
      <c r="H631" s="85"/>
      <c r="I631" s="85"/>
      <c r="J631" s="85"/>
      <c r="K631" s="85"/>
      <c r="L631" s="86"/>
    </row>
    <row r="632" spans="1:12" x14ac:dyDescent="0.2">
      <c r="A632" s="81" t="s">
        <v>1786</v>
      </c>
      <c r="B632" s="81" t="s">
        <v>1787</v>
      </c>
      <c r="C632" s="81" t="s">
        <v>1785</v>
      </c>
      <c r="D632" s="81" t="s">
        <v>3241</v>
      </c>
      <c r="E632" s="81" t="s">
        <v>2775</v>
      </c>
      <c r="F632" s="81" t="s">
        <v>2777</v>
      </c>
      <c r="G632" s="84"/>
      <c r="H632" s="85"/>
      <c r="I632" s="85"/>
      <c r="J632" s="85"/>
      <c r="K632" s="85"/>
      <c r="L632" s="86"/>
    </row>
    <row r="633" spans="1:12" x14ac:dyDescent="0.2">
      <c r="A633" s="81" t="s">
        <v>1877</v>
      </c>
      <c r="B633" s="81" t="s">
        <v>1878</v>
      </c>
      <c r="C633" s="81" t="s">
        <v>1876</v>
      </c>
      <c r="D633" s="81" t="s">
        <v>3340</v>
      </c>
      <c r="E633" s="81" t="s">
        <v>2770</v>
      </c>
      <c r="F633" s="81" t="s">
        <v>2827</v>
      </c>
      <c r="G633" s="84"/>
      <c r="H633" s="85"/>
      <c r="I633" s="85"/>
      <c r="J633" s="85"/>
      <c r="K633" s="85"/>
      <c r="L633" s="86"/>
    </row>
    <row r="634" spans="1:12" x14ac:dyDescent="0.2">
      <c r="A634" s="81" t="s">
        <v>1672</v>
      </c>
      <c r="B634" s="81" t="s">
        <v>1673</v>
      </c>
      <c r="C634" s="81" t="s">
        <v>1671</v>
      </c>
      <c r="D634" s="81" t="s">
        <v>3338</v>
      </c>
      <c r="E634" s="81" t="s">
        <v>2834</v>
      </c>
      <c r="F634" s="81" t="s">
        <v>2835</v>
      </c>
      <c r="G634" s="84"/>
      <c r="H634" s="85"/>
      <c r="I634" s="85"/>
      <c r="J634" s="85"/>
      <c r="K634" s="85"/>
      <c r="L634" s="86"/>
    </row>
    <row r="635" spans="1:12" x14ac:dyDescent="0.2">
      <c r="A635" s="81" t="s">
        <v>1582</v>
      </c>
      <c r="B635" s="81" t="s">
        <v>1583</v>
      </c>
      <c r="C635" s="81" t="s">
        <v>1581</v>
      </c>
      <c r="D635" s="81" t="s">
        <v>3355</v>
      </c>
      <c r="E635" s="81" t="s">
        <v>2786</v>
      </c>
      <c r="F635" s="81" t="s">
        <v>2793</v>
      </c>
      <c r="G635" s="84"/>
      <c r="H635" s="85"/>
      <c r="I635" s="85"/>
      <c r="J635" s="85"/>
      <c r="K635" s="85"/>
      <c r="L635" s="86"/>
    </row>
    <row r="636" spans="1:12" x14ac:dyDescent="0.2">
      <c r="A636" s="81" t="s">
        <v>803</v>
      </c>
      <c r="B636" s="81" t="s">
        <v>804</v>
      </c>
      <c r="C636" s="81" t="s">
        <v>802</v>
      </c>
      <c r="D636" s="81" t="s">
        <v>3358</v>
      </c>
      <c r="E636" s="81" t="s">
        <v>2804</v>
      </c>
      <c r="F636" s="81" t="s">
        <v>2813</v>
      </c>
      <c r="G636" s="84"/>
      <c r="H636" s="85"/>
      <c r="I636" s="85"/>
      <c r="J636" s="85"/>
      <c r="K636" s="85"/>
      <c r="L636" s="86"/>
    </row>
    <row r="637" spans="1:12" x14ac:dyDescent="0.2">
      <c r="A637" s="81" t="s">
        <v>815</v>
      </c>
      <c r="B637" s="81" t="s">
        <v>816</v>
      </c>
      <c r="C637" s="81" t="s">
        <v>814</v>
      </c>
      <c r="D637" s="81" t="s">
        <v>3189</v>
      </c>
      <c r="E637" s="81" t="s">
        <v>2762</v>
      </c>
      <c r="F637" s="81" t="s">
        <v>2766</v>
      </c>
      <c r="G637" s="84"/>
      <c r="H637" s="85"/>
      <c r="I637" s="85"/>
      <c r="J637" s="85"/>
      <c r="K637" s="85"/>
      <c r="L637" s="86"/>
    </row>
    <row r="638" spans="1:12" x14ac:dyDescent="0.2">
      <c r="A638" s="81" t="s">
        <v>846</v>
      </c>
      <c r="B638" s="81" t="s">
        <v>847</v>
      </c>
      <c r="C638" s="81" t="s">
        <v>845</v>
      </c>
      <c r="D638" s="81" t="s">
        <v>3331</v>
      </c>
      <c r="E638" s="81" t="s">
        <v>2786</v>
      </c>
      <c r="F638" s="81" t="s">
        <v>2795</v>
      </c>
      <c r="G638" s="84"/>
      <c r="H638" s="85"/>
      <c r="I638" s="85"/>
      <c r="J638" s="85"/>
      <c r="K638" s="85"/>
      <c r="L638" s="86"/>
    </row>
    <row r="639" spans="1:12" x14ac:dyDescent="0.2">
      <c r="A639" s="81" t="s">
        <v>841</v>
      </c>
      <c r="B639" s="81" t="s">
        <v>842</v>
      </c>
      <c r="C639" s="81" t="s">
        <v>840</v>
      </c>
      <c r="D639" s="81" t="s">
        <v>3190</v>
      </c>
      <c r="E639" s="81" t="s">
        <v>2759</v>
      </c>
      <c r="F639" s="81" t="s">
        <v>2760</v>
      </c>
      <c r="G639" s="84"/>
      <c r="H639" s="85"/>
      <c r="I639" s="85"/>
      <c r="J639" s="85"/>
      <c r="K639" s="85"/>
      <c r="L639" s="86"/>
    </row>
    <row r="640" spans="1:12" x14ac:dyDescent="0.2">
      <c r="A640" s="81" t="s">
        <v>811</v>
      </c>
      <c r="B640" s="81" t="s">
        <v>3061</v>
      </c>
      <c r="C640" s="81" t="s">
        <v>810</v>
      </c>
      <c r="D640" s="81" t="s">
        <v>3446</v>
      </c>
      <c r="E640" s="81" t="s">
        <v>2762</v>
      </c>
      <c r="F640" s="81" t="s">
        <v>2763</v>
      </c>
      <c r="G640" s="84"/>
      <c r="H640" s="85"/>
      <c r="I640" s="85"/>
      <c r="J640" s="85"/>
      <c r="K640" s="85"/>
      <c r="L640" s="86"/>
    </row>
    <row r="641" spans="1:12" x14ac:dyDescent="0.2">
      <c r="A641" s="81" t="s">
        <v>830</v>
      </c>
      <c r="B641" s="81" t="s">
        <v>831</v>
      </c>
      <c r="C641" s="81" t="s">
        <v>829</v>
      </c>
      <c r="D641" s="81" t="s">
        <v>3447</v>
      </c>
      <c r="E641" s="81" t="s">
        <v>2762</v>
      </c>
      <c r="F641" s="81" t="s">
        <v>2769</v>
      </c>
      <c r="G641" s="84"/>
      <c r="H641" s="85"/>
      <c r="I641" s="85"/>
      <c r="J641" s="85"/>
      <c r="K641" s="85"/>
      <c r="L641" s="86"/>
    </row>
    <row r="642" spans="1:12" x14ac:dyDescent="0.2">
      <c r="A642" s="81" t="s">
        <v>833</v>
      </c>
      <c r="B642" s="81" t="s">
        <v>834</v>
      </c>
      <c r="C642" s="81" t="s">
        <v>832</v>
      </c>
      <c r="D642" s="81" t="s">
        <v>3188</v>
      </c>
      <c r="E642" s="81" t="s">
        <v>2767</v>
      </c>
      <c r="F642" s="81" t="s">
        <v>2768</v>
      </c>
      <c r="G642" s="84"/>
      <c r="H642" s="85"/>
      <c r="I642" s="85"/>
      <c r="J642" s="85"/>
      <c r="K642" s="85"/>
      <c r="L642" s="86"/>
    </row>
    <row r="643" spans="1:12" x14ac:dyDescent="0.2">
      <c r="A643" s="81" t="s">
        <v>825</v>
      </c>
      <c r="B643" s="81" t="s">
        <v>826</v>
      </c>
      <c r="C643" s="81" t="s">
        <v>824</v>
      </c>
      <c r="D643" s="81" t="s">
        <v>3186</v>
      </c>
      <c r="E643" s="81" t="s">
        <v>2762</v>
      </c>
      <c r="F643" s="81" t="s">
        <v>2763</v>
      </c>
      <c r="G643" s="84"/>
      <c r="H643" s="85"/>
      <c r="I643" s="85"/>
      <c r="J643" s="85"/>
      <c r="K643" s="85"/>
      <c r="L643" s="86"/>
    </row>
    <row r="644" spans="1:12" x14ac:dyDescent="0.2">
      <c r="A644" s="81" t="s">
        <v>820</v>
      </c>
      <c r="B644" s="81" t="s">
        <v>821</v>
      </c>
      <c r="C644" s="81" t="s">
        <v>819</v>
      </c>
      <c r="D644" s="81" t="s">
        <v>3236</v>
      </c>
      <c r="E644" s="81" t="s">
        <v>2762</v>
      </c>
      <c r="F644" s="81" t="s">
        <v>2774</v>
      </c>
      <c r="G644" s="84"/>
      <c r="H644" s="85"/>
      <c r="I644" s="85"/>
      <c r="J644" s="85"/>
      <c r="K644" s="85"/>
      <c r="L644" s="86"/>
    </row>
    <row r="645" spans="1:12" x14ac:dyDescent="0.2">
      <c r="A645" s="81" t="s">
        <v>1197</v>
      </c>
      <c r="B645" s="81" t="s">
        <v>1198</v>
      </c>
      <c r="C645" s="81" t="s">
        <v>1196</v>
      </c>
      <c r="D645" s="81" t="s">
        <v>3215</v>
      </c>
      <c r="E645" s="81" t="s">
        <v>2772</v>
      </c>
      <c r="F645" s="81" t="s">
        <v>2806</v>
      </c>
      <c r="G645" s="84"/>
      <c r="H645" s="85"/>
      <c r="I645" s="85"/>
      <c r="J645" s="85"/>
      <c r="K645" s="85"/>
      <c r="L645" s="86"/>
    </row>
    <row r="646" spans="1:12" x14ac:dyDescent="0.2">
      <c r="A646" s="81" t="s">
        <v>1882</v>
      </c>
      <c r="B646" s="81" t="s">
        <v>1883</v>
      </c>
      <c r="C646" s="81" t="s">
        <v>1881</v>
      </c>
      <c r="D646" s="81" t="s">
        <v>3448</v>
      </c>
      <c r="E646" s="81" t="s">
        <v>2770</v>
      </c>
      <c r="F646" s="81" t="s">
        <v>2855</v>
      </c>
      <c r="G646" s="84"/>
      <c r="H646" s="85"/>
      <c r="I646" s="85"/>
      <c r="J646" s="85"/>
      <c r="K646" s="85"/>
      <c r="L646" s="86"/>
    </row>
    <row r="647" spans="1:12" x14ac:dyDescent="0.2">
      <c r="A647" s="81" t="s">
        <v>1887</v>
      </c>
      <c r="B647" s="81" t="s">
        <v>1888</v>
      </c>
      <c r="C647" s="81" t="s">
        <v>1886</v>
      </c>
      <c r="D647" s="81" t="s">
        <v>3449</v>
      </c>
      <c r="E647" s="81" t="s">
        <v>2770</v>
      </c>
      <c r="F647" s="81" t="s">
        <v>2855</v>
      </c>
      <c r="G647" s="84"/>
      <c r="H647" s="85"/>
      <c r="I647" s="85"/>
      <c r="J647" s="85"/>
      <c r="K647" s="85"/>
      <c r="L647" s="86"/>
    </row>
    <row r="648" spans="1:12" x14ac:dyDescent="0.2">
      <c r="A648" s="81" t="s">
        <v>2395</v>
      </c>
      <c r="B648" s="81" t="s">
        <v>2396</v>
      </c>
      <c r="C648" s="81" t="s">
        <v>2394</v>
      </c>
      <c r="D648" s="81" t="s">
        <v>3450</v>
      </c>
      <c r="E648" s="81" t="s">
        <v>2791</v>
      </c>
      <c r="F648" s="81" t="s">
        <v>2853</v>
      </c>
      <c r="G648" s="84"/>
      <c r="H648" s="85"/>
      <c r="I648" s="85"/>
      <c r="J648" s="85"/>
      <c r="K648" s="85"/>
      <c r="L648" s="86"/>
    </row>
    <row r="649" spans="1:12" x14ac:dyDescent="0.2">
      <c r="A649" s="81" t="s">
        <v>3107</v>
      </c>
      <c r="B649" s="81" t="s">
        <v>1987</v>
      </c>
      <c r="C649" s="81" t="s">
        <v>3108</v>
      </c>
      <c r="D649" s="81" t="s">
        <v>3222</v>
      </c>
      <c r="E649" s="81" t="s">
        <v>2770</v>
      </c>
      <c r="F649" s="81" t="s">
        <v>2764</v>
      </c>
      <c r="G649" s="84"/>
      <c r="H649" s="85"/>
      <c r="I649" s="85"/>
      <c r="J649" s="85"/>
      <c r="K649" s="85"/>
      <c r="L649" s="86"/>
    </row>
    <row r="650" spans="1:12" x14ac:dyDescent="0.2">
      <c r="A650" s="81" t="s">
        <v>2084</v>
      </c>
      <c r="B650" s="81" t="s">
        <v>1487</v>
      </c>
      <c r="C650" s="81" t="s">
        <v>2083</v>
      </c>
      <c r="D650" s="81" t="s">
        <v>3223</v>
      </c>
      <c r="E650" s="81" t="s">
        <v>2791</v>
      </c>
      <c r="F650" s="81" t="s">
        <v>1489</v>
      </c>
      <c r="G650" s="84"/>
      <c r="H650" s="85"/>
      <c r="I650" s="85"/>
      <c r="J650" s="85"/>
      <c r="K650" s="85"/>
      <c r="L650" s="86"/>
    </row>
    <row r="651" spans="1:12" x14ac:dyDescent="0.2">
      <c r="A651" s="81" t="s">
        <v>1209</v>
      </c>
      <c r="B651" s="81" t="s">
        <v>834</v>
      </c>
      <c r="C651" s="81" t="s">
        <v>1208</v>
      </c>
      <c r="D651" s="81" t="s">
        <v>3188</v>
      </c>
      <c r="E651" s="81" t="s">
        <v>2767</v>
      </c>
      <c r="F651" s="81" t="s">
        <v>2768</v>
      </c>
      <c r="G651" s="84"/>
      <c r="H651" s="85"/>
      <c r="I651" s="85"/>
      <c r="J651" s="85"/>
      <c r="K651" s="85"/>
      <c r="L651" s="86"/>
    </row>
    <row r="652" spans="1:12" x14ac:dyDescent="0.2">
      <c r="A652" s="81" t="s">
        <v>1204</v>
      </c>
      <c r="B652" s="81" t="s">
        <v>1205</v>
      </c>
      <c r="C652" s="81" t="s">
        <v>1203</v>
      </c>
      <c r="D652" s="81" t="s">
        <v>3451</v>
      </c>
      <c r="E652" s="81" t="s">
        <v>2767</v>
      </c>
      <c r="F652" s="81" t="s">
        <v>2856</v>
      </c>
      <c r="G652" s="84"/>
      <c r="H652" s="85"/>
      <c r="I652" s="85"/>
      <c r="J652" s="85"/>
      <c r="K652" s="85"/>
      <c r="L652" s="86"/>
    </row>
    <row r="653" spans="1:12" x14ac:dyDescent="0.2">
      <c r="A653" s="90" t="s">
        <v>2758</v>
      </c>
      <c r="B653" s="94"/>
      <c r="C653" s="94"/>
      <c r="D653" s="94"/>
      <c r="E653" s="94"/>
      <c r="F653" s="94"/>
      <c r="G653" s="87"/>
      <c r="H653" s="88"/>
      <c r="I653" s="88"/>
      <c r="J653" s="88"/>
      <c r="K653" s="88"/>
      <c r="L653" s="89"/>
    </row>
  </sheetData>
  <sheetProtection algorithmName="SHA-512" hashValue="t1eHmXicR2HOkXhUtCwPBroDQoIuLqZHqGB0ahH8fCVPVS2UQxocR+dtA2HLs+U7LyTRg+IVTWve+c7Cm2eqAg==" saltValue="KkN97BoqBnXbiqPRgrjh8w==" spinCount="100000" sheet="1" selectLockedCells="1" pivotTables="0"/>
  <mergeCells count="1">
    <mergeCell ref="A1:K11"/>
  </mergeCells>
  <dataValidations count="1">
    <dataValidation type="list" allowBlank="1" showInputMessage="1" showErrorMessage="1" sqref="B13" xr:uid="{D539E997-296A-4F94-9445-40EB90012ADA}">
      <formula1>PSP</formula1>
    </dataValidation>
  </dataValidations>
  <pageMargins left="0.25" right="0.25" top="1" bottom="1" header="0.5" footer="0.5"/>
  <pageSetup scale="85" orientation="portrait" horizontalDpi="96" verticalDpi="96" r:id="rId2"/>
  <headerFooter alignWithMargins="0"/>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V48"/>
  <sheetViews>
    <sheetView showGridLines="0" topLeftCell="A28" zoomScaleNormal="100" workbookViewId="0">
      <selection activeCell="D19" sqref="D19"/>
    </sheetView>
  </sheetViews>
  <sheetFormatPr defaultRowHeight="12.75" x14ac:dyDescent="0.2"/>
  <cols>
    <col min="1" max="1" width="15.28515625" customWidth="1"/>
    <col min="2" max="2" width="16.7109375" customWidth="1"/>
    <col min="3" max="3" width="15.5703125" customWidth="1"/>
    <col min="4" max="4" width="16.7109375" customWidth="1"/>
    <col min="5" max="5" width="7.42578125" customWidth="1"/>
    <col min="6" max="6" width="12" customWidth="1"/>
    <col min="7" max="7" width="12.7109375" customWidth="1"/>
    <col min="8" max="10" width="16.7109375" customWidth="1"/>
    <col min="11" max="11" width="4.140625" customWidth="1"/>
    <col min="12" max="12" width="4" customWidth="1"/>
    <col min="13" max="13" width="4.7109375" customWidth="1"/>
    <col min="14" max="17" width="16.28515625" customWidth="1"/>
    <col min="18" max="19" width="14" customWidth="1"/>
    <col min="20" max="20" width="12.140625" customWidth="1"/>
    <col min="21" max="21" width="26.7109375" customWidth="1"/>
    <col min="22" max="22" width="11.5703125" style="70" customWidth="1"/>
  </cols>
  <sheetData>
    <row r="1" spans="1:10" s="19" customFormat="1" ht="12.75" customHeight="1" x14ac:dyDescent="0.2">
      <c r="A1" s="194" t="str">
        <f>Header!A1</f>
        <v>800-22 Aggregate  1/28/21</v>
      </c>
      <c r="B1" s="154"/>
      <c r="C1" s="154"/>
      <c r="D1" s="154"/>
      <c r="E1" s="154"/>
      <c r="F1" s="154"/>
      <c r="G1" s="154"/>
      <c r="H1" s="154"/>
      <c r="I1" s="154"/>
      <c r="J1" s="154"/>
    </row>
    <row r="2" spans="1:10" s="19" customFormat="1" ht="21.75" customHeight="1" x14ac:dyDescent="0.25">
      <c r="A2" s="195" t="s">
        <v>615</v>
      </c>
      <c r="B2" s="196"/>
      <c r="C2" s="196"/>
      <c r="D2" s="196"/>
      <c r="E2" s="196"/>
      <c r="F2" s="196"/>
      <c r="G2" s="196"/>
      <c r="H2" s="196"/>
      <c r="I2" s="196"/>
      <c r="J2" s="196"/>
    </row>
    <row r="3" spans="1:10" s="19" customFormat="1" ht="15.75" customHeight="1" x14ac:dyDescent="0.2">
      <c r="A3" s="194" t="s">
        <v>31</v>
      </c>
      <c r="B3" s="154"/>
      <c r="C3" s="154"/>
      <c r="D3" s="154"/>
      <c r="E3" s="154"/>
      <c r="F3" s="154"/>
      <c r="G3" s="154"/>
      <c r="H3" s="154"/>
      <c r="I3" s="154"/>
      <c r="J3" s="154"/>
    </row>
    <row r="4" spans="1:10" s="19" customFormat="1" ht="15.75" customHeight="1" x14ac:dyDescent="0.2">
      <c r="A4" s="194" t="s">
        <v>616</v>
      </c>
      <c r="B4" s="154"/>
      <c r="C4" s="154"/>
      <c r="D4" s="154"/>
      <c r="E4" s="154"/>
      <c r="F4" s="154"/>
      <c r="G4" s="154"/>
      <c r="H4" s="154"/>
      <c r="I4" s="154"/>
      <c r="J4" s="154"/>
    </row>
    <row r="5" spans="1:10" ht="12.95" customHeight="1" x14ac:dyDescent="0.2">
      <c r="A5" s="165" t="s">
        <v>98</v>
      </c>
      <c r="B5" s="165"/>
      <c r="C5" s="197" t="str">
        <f>IF(Plant_Information!B6="(INSERT VENDOR NAME HERE)","Complete on PLANT INFORMATION TAB",Plant_Information!B6)</f>
        <v>Complete on PLANT INFORMATION TAB</v>
      </c>
      <c r="D5" s="198"/>
      <c r="E5" s="198"/>
      <c r="F5" s="198"/>
      <c r="G5" s="198"/>
      <c r="H5" s="198"/>
      <c r="I5" s="198"/>
      <c r="J5" s="199"/>
    </row>
    <row r="6" spans="1:10" ht="12.95" customHeight="1" x14ac:dyDescent="0.2">
      <c r="A6" s="174" t="s">
        <v>99</v>
      </c>
      <c r="B6" s="174"/>
      <c r="C6" s="200" t="str">
        <f>IF(Plant_Information!B8="You Must Select a Plant from the List           (Use dropdown button at right) &gt;&gt;&gt;&gt;","Complete on PLANT INFORMATION TAB",Plant_Information!B8)</f>
        <v>LAFARGE-MARBLEHEAD "OSBORNE-CLEVELAND"</v>
      </c>
      <c r="D6" s="201"/>
      <c r="E6" s="201"/>
      <c r="F6" s="201"/>
      <c r="G6" s="201"/>
      <c r="H6" s="201"/>
      <c r="I6" s="201"/>
      <c r="J6" s="202"/>
    </row>
    <row r="7" spans="1:10" ht="21" customHeight="1" x14ac:dyDescent="0.2">
      <c r="A7" s="166" t="s">
        <v>58</v>
      </c>
      <c r="B7" s="166"/>
      <c r="C7" s="166" t="s">
        <v>77</v>
      </c>
      <c r="D7" s="166"/>
      <c r="E7" s="185"/>
      <c r="F7" s="166" t="s">
        <v>78</v>
      </c>
      <c r="G7" s="183" t="s">
        <v>663</v>
      </c>
      <c r="H7" s="12" t="s">
        <v>79</v>
      </c>
      <c r="I7" s="12" t="s">
        <v>80</v>
      </c>
      <c r="J7" s="12" t="s">
        <v>81</v>
      </c>
    </row>
    <row r="8" spans="1:10" ht="39" customHeight="1" x14ac:dyDescent="0.2">
      <c r="A8" s="12" t="s">
        <v>76</v>
      </c>
      <c r="B8" s="12" t="s">
        <v>612</v>
      </c>
      <c r="C8" s="43" t="s">
        <v>662</v>
      </c>
      <c r="D8" s="12" t="s">
        <v>612</v>
      </c>
      <c r="E8" s="186"/>
      <c r="F8" s="175"/>
      <c r="G8" s="184"/>
      <c r="H8" s="12" t="s">
        <v>612</v>
      </c>
      <c r="I8" s="12" t="s">
        <v>612</v>
      </c>
      <c r="J8" s="12" t="s">
        <v>612</v>
      </c>
    </row>
    <row r="9" spans="1:10" s="1" customFormat="1" ht="27.95" customHeight="1" x14ac:dyDescent="0.2">
      <c r="A9" s="42" t="s">
        <v>210</v>
      </c>
      <c r="B9" s="50"/>
      <c r="C9" s="2" t="s">
        <v>214</v>
      </c>
      <c r="D9" s="50"/>
      <c r="E9" s="186"/>
      <c r="F9" s="171" t="s">
        <v>87</v>
      </c>
      <c r="G9" s="13">
        <v>703.02</v>
      </c>
      <c r="H9" s="50">
        <v>19.55</v>
      </c>
      <c r="I9" s="50"/>
      <c r="J9" s="50"/>
    </row>
    <row r="10" spans="1:10" ht="27.95" customHeight="1" x14ac:dyDescent="0.2">
      <c r="A10" s="42" t="s">
        <v>211</v>
      </c>
      <c r="B10" s="51"/>
      <c r="C10" s="2" t="s">
        <v>224</v>
      </c>
      <c r="D10" s="51"/>
      <c r="E10" s="186"/>
      <c r="F10" s="171"/>
      <c r="G10" s="11">
        <v>703.04</v>
      </c>
      <c r="H10" s="51"/>
      <c r="I10" s="51"/>
      <c r="J10" s="51"/>
    </row>
    <row r="11" spans="1:10" ht="27.95" customHeight="1" x14ac:dyDescent="0.2">
      <c r="A11" s="42" t="s">
        <v>212</v>
      </c>
      <c r="B11" s="51"/>
      <c r="C11" s="2" t="s">
        <v>215</v>
      </c>
      <c r="D11" s="51"/>
      <c r="E11" s="186"/>
      <c r="F11" s="171"/>
      <c r="G11" s="11">
        <v>703.05</v>
      </c>
      <c r="H11" s="51"/>
      <c r="I11" s="51"/>
      <c r="J11" s="51"/>
    </row>
    <row r="12" spans="1:10" ht="27.95" customHeight="1" x14ac:dyDescent="0.2">
      <c r="A12" s="42" t="s">
        <v>213</v>
      </c>
      <c r="B12" s="51"/>
      <c r="C12" s="2" t="s">
        <v>216</v>
      </c>
      <c r="D12" s="51"/>
      <c r="E12" s="186"/>
      <c r="F12" s="171" t="s">
        <v>88</v>
      </c>
      <c r="G12" s="11">
        <v>703.02</v>
      </c>
      <c r="H12" s="50"/>
      <c r="I12" s="50"/>
      <c r="J12" s="50"/>
    </row>
    <row r="13" spans="1:10" ht="27.95" customHeight="1" x14ac:dyDescent="0.2">
      <c r="A13" s="183" t="s">
        <v>82</v>
      </c>
      <c r="B13" s="175"/>
      <c r="C13" s="2" t="s">
        <v>217</v>
      </c>
      <c r="D13" s="51"/>
      <c r="E13" s="186"/>
      <c r="F13" s="171"/>
      <c r="G13" s="11">
        <v>703.04</v>
      </c>
      <c r="H13" s="51">
        <v>19.55</v>
      </c>
      <c r="I13" s="50"/>
      <c r="J13" s="50"/>
    </row>
    <row r="14" spans="1:10" ht="27.95" customHeight="1" x14ac:dyDescent="0.2">
      <c r="A14" s="43" t="s">
        <v>78</v>
      </c>
      <c r="B14" s="12" t="s">
        <v>612</v>
      </c>
      <c r="C14" s="2" t="s">
        <v>218</v>
      </c>
      <c r="D14" s="51"/>
      <c r="E14" s="186"/>
      <c r="F14" s="171"/>
      <c r="G14" s="11">
        <v>703.05</v>
      </c>
      <c r="H14" s="50"/>
      <c r="I14" s="51"/>
      <c r="J14" s="51"/>
    </row>
    <row r="15" spans="1:10" ht="27.95" customHeight="1" x14ac:dyDescent="0.2">
      <c r="A15" s="44" t="s">
        <v>207</v>
      </c>
      <c r="B15" s="51">
        <v>60</v>
      </c>
      <c r="C15" s="2" t="s">
        <v>219</v>
      </c>
      <c r="D15" s="51"/>
      <c r="E15" s="186"/>
      <c r="F15" s="171" t="s">
        <v>608</v>
      </c>
      <c r="G15" s="11">
        <v>703.02</v>
      </c>
      <c r="H15" s="51"/>
      <c r="I15" s="51"/>
      <c r="J15" s="51"/>
    </row>
    <row r="16" spans="1:10" ht="27.95" customHeight="1" x14ac:dyDescent="0.2">
      <c r="A16" s="44" t="s">
        <v>206</v>
      </c>
      <c r="B16" s="51">
        <v>52</v>
      </c>
      <c r="C16" s="2" t="s">
        <v>220</v>
      </c>
      <c r="D16" s="51"/>
      <c r="E16" s="186"/>
      <c r="F16" s="172"/>
      <c r="G16" s="11">
        <v>703.04</v>
      </c>
      <c r="H16" s="51"/>
      <c r="I16" s="50"/>
      <c r="J16" s="50"/>
    </row>
    <row r="17" spans="1:10" ht="27.95" customHeight="1" x14ac:dyDescent="0.2">
      <c r="A17" s="44" t="s">
        <v>208</v>
      </c>
      <c r="B17" s="51">
        <v>40</v>
      </c>
      <c r="C17" s="2" t="s">
        <v>221</v>
      </c>
      <c r="D17" s="51"/>
      <c r="E17" s="186"/>
      <c r="F17" s="172"/>
      <c r="G17" s="11">
        <v>703.05</v>
      </c>
      <c r="H17" s="50"/>
      <c r="I17" s="50"/>
      <c r="J17" s="50"/>
    </row>
    <row r="18" spans="1:10" ht="27.95" customHeight="1" x14ac:dyDescent="0.2">
      <c r="A18" s="44" t="s">
        <v>209</v>
      </c>
      <c r="B18" s="51">
        <v>36</v>
      </c>
      <c r="C18" s="2" t="s">
        <v>225</v>
      </c>
      <c r="D18" s="51"/>
      <c r="E18" s="186"/>
      <c r="F18" s="171" t="s">
        <v>89</v>
      </c>
      <c r="G18" s="11">
        <v>703.02</v>
      </c>
      <c r="H18" s="51">
        <v>20.05</v>
      </c>
      <c r="I18" s="51"/>
      <c r="J18" s="51"/>
    </row>
    <row r="19" spans="1:10" ht="27.95" customHeight="1" x14ac:dyDescent="0.2">
      <c r="A19" s="167" t="s">
        <v>610</v>
      </c>
      <c r="B19" s="168"/>
      <c r="C19" s="2" t="s">
        <v>222</v>
      </c>
      <c r="D19" s="51"/>
      <c r="E19" s="186"/>
      <c r="F19" s="171"/>
      <c r="G19" s="11">
        <v>703.04</v>
      </c>
      <c r="H19" s="50"/>
      <c r="I19" s="51"/>
      <c r="J19" s="51"/>
    </row>
    <row r="20" spans="1:10" ht="27.95" customHeight="1" x14ac:dyDescent="0.2">
      <c r="A20" s="169"/>
      <c r="B20" s="170"/>
      <c r="C20" s="2" t="s">
        <v>223</v>
      </c>
      <c r="D20" s="51"/>
      <c r="E20" s="186"/>
      <c r="F20" s="171"/>
      <c r="G20" s="11">
        <v>703.05</v>
      </c>
      <c r="H20" s="51"/>
      <c r="I20" s="50"/>
      <c r="J20" s="50"/>
    </row>
    <row r="21" spans="1:10" ht="27.95" customHeight="1" x14ac:dyDescent="0.2">
      <c r="A21" s="166" t="s">
        <v>59</v>
      </c>
      <c r="B21" s="166"/>
      <c r="C21" s="166"/>
      <c r="D21" s="166"/>
      <c r="E21" s="186"/>
      <c r="F21" s="171" t="s">
        <v>90</v>
      </c>
      <c r="G21" s="11">
        <v>703.02</v>
      </c>
      <c r="H21" s="51"/>
      <c r="I21" s="50"/>
      <c r="J21" s="50"/>
    </row>
    <row r="22" spans="1:10" ht="27.95" customHeight="1" x14ac:dyDescent="0.2">
      <c r="A22" s="166" t="s">
        <v>96</v>
      </c>
      <c r="B22" s="166"/>
      <c r="C22" s="166" t="s">
        <v>612</v>
      </c>
      <c r="D22" s="166"/>
      <c r="E22" s="186"/>
      <c r="F22" s="171"/>
      <c r="G22" s="11">
        <v>703.04</v>
      </c>
      <c r="H22" s="50"/>
      <c r="I22" s="51"/>
      <c r="J22" s="51"/>
    </row>
    <row r="23" spans="1:10" ht="27.95" customHeight="1" x14ac:dyDescent="0.2">
      <c r="A23" s="178" t="s">
        <v>226</v>
      </c>
      <c r="B23" s="178"/>
      <c r="C23" s="177"/>
      <c r="D23" s="177"/>
      <c r="E23" s="186"/>
      <c r="F23" s="171"/>
      <c r="G23" s="11">
        <v>703.05</v>
      </c>
      <c r="H23" s="51"/>
      <c r="I23" s="51"/>
      <c r="J23" s="51"/>
    </row>
    <row r="24" spans="1:10" ht="27.95" customHeight="1" x14ac:dyDescent="0.2">
      <c r="A24" s="178" t="s">
        <v>227</v>
      </c>
      <c r="B24" s="178"/>
      <c r="C24" s="177"/>
      <c r="D24" s="177"/>
      <c r="E24" s="186"/>
      <c r="F24" s="171" t="s">
        <v>91</v>
      </c>
      <c r="G24" s="11">
        <v>703.02</v>
      </c>
      <c r="H24" s="50"/>
      <c r="I24" s="50"/>
      <c r="J24" s="50"/>
    </row>
    <row r="25" spans="1:10" ht="27.95" customHeight="1" x14ac:dyDescent="0.2">
      <c r="A25" s="178" t="s">
        <v>228</v>
      </c>
      <c r="B25" s="178"/>
      <c r="C25" s="177"/>
      <c r="D25" s="177"/>
      <c r="E25" s="186"/>
      <c r="F25" s="171"/>
      <c r="G25" s="11">
        <v>703.04</v>
      </c>
      <c r="H25" s="51">
        <v>19.2</v>
      </c>
      <c r="I25" s="50"/>
      <c r="J25" s="50"/>
    </row>
    <row r="26" spans="1:10" ht="27.95" customHeight="1" x14ac:dyDescent="0.2">
      <c r="A26" s="166" t="s">
        <v>60</v>
      </c>
      <c r="B26" s="166"/>
      <c r="C26" s="166"/>
      <c r="D26" s="166"/>
      <c r="E26" s="186"/>
      <c r="F26" s="171"/>
      <c r="G26" s="11">
        <v>703.05</v>
      </c>
      <c r="H26" s="51"/>
      <c r="I26" s="51"/>
      <c r="J26" s="51"/>
    </row>
    <row r="27" spans="1:10" ht="27.95" customHeight="1" x14ac:dyDescent="0.2">
      <c r="A27" s="166" t="s">
        <v>96</v>
      </c>
      <c r="B27" s="166"/>
      <c r="C27" s="166" t="s">
        <v>612</v>
      </c>
      <c r="D27" s="166"/>
      <c r="E27" s="186"/>
      <c r="F27" s="171" t="s">
        <v>92</v>
      </c>
      <c r="G27" s="11">
        <v>703.02</v>
      </c>
      <c r="H27" s="50"/>
      <c r="I27" s="51"/>
      <c r="J27" s="51"/>
    </row>
    <row r="28" spans="1:10" ht="27.95" customHeight="1" x14ac:dyDescent="0.2">
      <c r="A28" s="178" t="s">
        <v>226</v>
      </c>
      <c r="B28" s="178"/>
      <c r="C28" s="173">
        <v>15.85</v>
      </c>
      <c r="D28" s="173"/>
      <c r="E28" s="186"/>
      <c r="F28" s="172"/>
      <c r="G28" s="11">
        <v>703.04</v>
      </c>
      <c r="H28" s="51"/>
      <c r="I28" s="50"/>
      <c r="J28" s="50"/>
    </row>
    <row r="29" spans="1:10" ht="25.5" customHeight="1" x14ac:dyDescent="0.2">
      <c r="A29" s="178" t="s">
        <v>227</v>
      </c>
      <c r="B29" s="178"/>
      <c r="C29" s="173"/>
      <c r="D29" s="173"/>
      <c r="E29" s="186"/>
      <c r="F29" s="172"/>
      <c r="G29" s="11">
        <v>703.05</v>
      </c>
      <c r="H29" s="50"/>
      <c r="I29" s="50"/>
      <c r="J29" s="50"/>
    </row>
    <row r="30" spans="1:10" ht="25.5" customHeight="1" x14ac:dyDescent="0.2">
      <c r="A30" s="178" t="s">
        <v>228</v>
      </c>
      <c r="B30" s="178"/>
      <c r="C30" s="173"/>
      <c r="D30" s="173"/>
      <c r="E30" s="186"/>
      <c r="F30" s="191" t="s">
        <v>93</v>
      </c>
      <c r="G30" s="11">
        <v>703.02</v>
      </c>
      <c r="H30" s="51"/>
      <c r="I30" s="51"/>
      <c r="J30" s="51"/>
    </row>
    <row r="31" spans="1:10" ht="30" customHeight="1" x14ac:dyDescent="0.2">
      <c r="A31" s="166" t="s">
        <v>664</v>
      </c>
      <c r="B31" s="166"/>
      <c r="C31" s="166"/>
      <c r="D31" s="166"/>
      <c r="E31" s="186"/>
      <c r="F31" s="192"/>
      <c r="G31" s="11">
        <v>703.04</v>
      </c>
      <c r="H31" s="51"/>
      <c r="I31" s="51"/>
      <c r="J31" s="51"/>
    </row>
    <row r="32" spans="1:10" ht="30" customHeight="1" x14ac:dyDescent="0.2">
      <c r="A32" s="166" t="s">
        <v>96</v>
      </c>
      <c r="B32" s="166"/>
      <c r="C32" s="166" t="s">
        <v>612</v>
      </c>
      <c r="D32" s="166"/>
      <c r="E32" s="186"/>
      <c r="F32" s="192"/>
      <c r="G32" s="11">
        <v>703.05</v>
      </c>
      <c r="H32" s="50"/>
      <c r="I32" s="50"/>
      <c r="J32" s="50"/>
    </row>
    <row r="33" spans="1:12" ht="30" customHeight="1" x14ac:dyDescent="0.2">
      <c r="A33" s="176" t="s">
        <v>665</v>
      </c>
      <c r="B33" s="176"/>
      <c r="C33" s="173">
        <v>17.5</v>
      </c>
      <c r="D33" s="173"/>
      <c r="E33" s="186"/>
      <c r="F33" s="193"/>
      <c r="G33" s="11">
        <v>422.02</v>
      </c>
      <c r="H33" s="51"/>
      <c r="I33" s="50"/>
      <c r="J33" s="50"/>
    </row>
    <row r="34" spans="1:12" ht="30" customHeight="1" x14ac:dyDescent="0.2">
      <c r="A34" s="176" t="s">
        <v>667</v>
      </c>
      <c r="B34" s="176"/>
      <c r="C34" s="173"/>
      <c r="D34" s="173"/>
      <c r="E34" s="186"/>
      <c r="F34" s="171" t="s">
        <v>94</v>
      </c>
      <c r="G34" s="11">
        <v>703.02</v>
      </c>
      <c r="H34" s="50">
        <v>19.3</v>
      </c>
      <c r="I34" s="51"/>
      <c r="J34" s="51"/>
    </row>
    <row r="35" spans="1:12" ht="30" customHeight="1" x14ac:dyDescent="0.2">
      <c r="A35" s="176" t="s">
        <v>666</v>
      </c>
      <c r="B35" s="176"/>
      <c r="C35" s="173"/>
      <c r="D35" s="173"/>
      <c r="E35" s="186"/>
      <c r="F35" s="172"/>
      <c r="G35" s="11">
        <v>703.04</v>
      </c>
      <c r="H35" s="51"/>
      <c r="I35" s="51"/>
      <c r="J35" s="51"/>
    </row>
    <row r="36" spans="1:12" ht="30" customHeight="1" x14ac:dyDescent="0.2">
      <c r="A36" s="183" t="s">
        <v>617</v>
      </c>
      <c r="B36" s="184"/>
      <c r="C36" s="184"/>
      <c r="D36" s="184"/>
      <c r="E36" s="186"/>
      <c r="F36" s="172"/>
      <c r="G36" s="11">
        <v>703.05</v>
      </c>
      <c r="H36" s="51"/>
      <c r="I36" s="50"/>
      <c r="J36" s="50"/>
    </row>
    <row r="37" spans="1:12" ht="42" customHeight="1" x14ac:dyDescent="0.2">
      <c r="A37" s="12" t="s">
        <v>78</v>
      </c>
      <c r="B37" s="166" t="s">
        <v>83</v>
      </c>
      <c r="C37" s="166"/>
      <c r="D37" s="12" t="s">
        <v>612</v>
      </c>
      <c r="E37" s="186"/>
      <c r="F37" s="171" t="s">
        <v>95</v>
      </c>
      <c r="G37" s="11">
        <v>703.02</v>
      </c>
      <c r="H37" s="50"/>
      <c r="I37" s="50"/>
      <c r="J37" s="50"/>
    </row>
    <row r="38" spans="1:12" ht="44.25" x14ac:dyDescent="0.55000000000000004">
      <c r="A38" s="45" t="s">
        <v>84</v>
      </c>
      <c r="B38" s="203" t="s">
        <v>655</v>
      </c>
      <c r="C38" s="182"/>
      <c r="D38" s="51"/>
      <c r="E38" s="186"/>
      <c r="F38" s="172"/>
      <c r="G38" s="11">
        <v>703.04</v>
      </c>
      <c r="H38" s="51"/>
      <c r="I38" s="51"/>
      <c r="J38" s="51"/>
      <c r="L38" s="78"/>
    </row>
    <row r="39" spans="1:12" ht="44.25" x14ac:dyDescent="0.55000000000000004">
      <c r="A39" s="45" t="s">
        <v>85</v>
      </c>
      <c r="B39" s="181" t="s">
        <v>656</v>
      </c>
      <c r="C39" s="182"/>
      <c r="D39" s="51"/>
      <c r="E39" s="186"/>
      <c r="F39" s="172"/>
      <c r="G39" s="11">
        <v>703.05</v>
      </c>
      <c r="H39" s="50"/>
      <c r="I39" s="51"/>
      <c r="J39" s="51"/>
      <c r="L39" s="78"/>
    </row>
    <row r="40" spans="1:12" ht="44.25" x14ac:dyDescent="0.55000000000000004">
      <c r="A40" s="45" t="s">
        <v>86</v>
      </c>
      <c r="B40" s="203" t="s">
        <v>657</v>
      </c>
      <c r="C40" s="182"/>
      <c r="D40" s="51"/>
      <c r="E40" s="186"/>
      <c r="F40" s="71"/>
      <c r="G40" s="72"/>
      <c r="H40" s="101"/>
      <c r="I40" s="101"/>
      <c r="J40" s="102"/>
      <c r="L40" s="78"/>
    </row>
    <row r="41" spans="1:12" ht="44.25" x14ac:dyDescent="0.55000000000000004">
      <c r="A41" s="49" t="s">
        <v>29</v>
      </c>
      <c r="B41" s="179" t="s">
        <v>30</v>
      </c>
      <c r="C41" s="180"/>
      <c r="D41" s="51"/>
      <c r="E41" s="187"/>
      <c r="F41" s="73"/>
      <c r="G41" s="74"/>
      <c r="H41" s="103"/>
      <c r="I41" s="103"/>
      <c r="J41" s="104"/>
      <c r="L41" s="78"/>
    </row>
    <row r="42" spans="1:12" ht="24.95" customHeight="1" x14ac:dyDescent="0.2">
      <c r="A42" s="188" t="s">
        <v>97</v>
      </c>
      <c r="B42" s="189"/>
      <c r="C42" s="189"/>
      <c r="D42" s="189"/>
      <c r="E42" s="189"/>
      <c r="F42" s="189"/>
      <c r="G42" s="189"/>
      <c r="H42" s="189"/>
      <c r="I42" s="189"/>
      <c r="J42" s="190"/>
    </row>
    <row r="43" spans="1:12" ht="38.1" customHeight="1" x14ac:dyDescent="0.2">
      <c r="A43" s="52"/>
      <c r="B43" s="52"/>
      <c r="C43" s="52"/>
      <c r="D43" s="52"/>
      <c r="E43" s="52"/>
      <c r="F43" s="52"/>
      <c r="G43" s="52"/>
      <c r="H43" s="52"/>
      <c r="I43" s="52"/>
      <c r="J43" s="52"/>
    </row>
    <row r="44" spans="1:12" ht="24.95" customHeight="1" x14ac:dyDescent="0.2">
      <c r="C44" s="3"/>
      <c r="D44" s="9"/>
      <c r="E44" s="9"/>
      <c r="F44" s="8"/>
      <c r="G44" s="8"/>
    </row>
    <row r="45" spans="1:12" x14ac:dyDescent="0.2">
      <c r="C45" s="3"/>
      <c r="D45" s="7"/>
      <c r="E45" s="7"/>
      <c r="F45" s="8"/>
      <c r="G45" s="8"/>
    </row>
    <row r="46" spans="1:12" ht="12.6" customHeight="1" x14ac:dyDescent="0.2">
      <c r="C46" s="3"/>
      <c r="D46" s="7"/>
      <c r="E46" s="7"/>
      <c r="F46" s="8"/>
      <c r="G46" s="8"/>
    </row>
    <row r="47" spans="1:12" x14ac:dyDescent="0.2">
      <c r="C47" s="6"/>
      <c r="D47" s="7"/>
      <c r="E47" s="7"/>
      <c r="F47" s="8"/>
      <c r="G47" s="5"/>
    </row>
    <row r="48" spans="1:12" x14ac:dyDescent="0.2">
      <c r="A48" s="10"/>
      <c r="B48" s="10"/>
      <c r="C48" s="10"/>
      <c r="D48" s="10"/>
      <c r="E48" s="10"/>
      <c r="F48" s="4"/>
      <c r="G48" s="5"/>
    </row>
  </sheetData>
  <sheetProtection algorithmName="SHA-512" hashValue="xa4xx/LIS2G9Zw8+zRaFmsv2LHPYqxwtgabaq0xwf/JUkT4a06wcxUgQTW7Q+efGqWSPBJOoChdhLrfaGhiCVw==" saltValue="gXNhYbYGTN/DkPbmikqEYw==" spinCount="100000" sheet="1" selectLockedCells="1"/>
  <mergeCells count="59">
    <mergeCell ref="A4:J4"/>
    <mergeCell ref="C24:D24"/>
    <mergeCell ref="B38:C38"/>
    <mergeCell ref="A25:B25"/>
    <mergeCell ref="A7:B7"/>
    <mergeCell ref="C7:D7"/>
    <mergeCell ref="A13:B13"/>
    <mergeCell ref="C27:D27"/>
    <mergeCell ref="C25:D25"/>
    <mergeCell ref="C22:D22"/>
    <mergeCell ref="G7:G8"/>
    <mergeCell ref="F27:F29"/>
    <mergeCell ref="F15:F17"/>
    <mergeCell ref="F9:F11"/>
    <mergeCell ref="F12:F14"/>
    <mergeCell ref="F18:F20"/>
    <mergeCell ref="E7:E41"/>
    <mergeCell ref="A42:J42"/>
    <mergeCell ref="F30:F33"/>
    <mergeCell ref="A1:J1"/>
    <mergeCell ref="A2:J2"/>
    <mergeCell ref="A3:J3"/>
    <mergeCell ref="C5:J5"/>
    <mergeCell ref="C6:J6"/>
    <mergeCell ref="A28:B28"/>
    <mergeCell ref="A23:B23"/>
    <mergeCell ref="A24:B24"/>
    <mergeCell ref="F37:F39"/>
    <mergeCell ref="F21:F23"/>
    <mergeCell ref="F24:F26"/>
    <mergeCell ref="A30:B30"/>
    <mergeCell ref="B40:C40"/>
    <mergeCell ref="C23:D23"/>
    <mergeCell ref="A29:B29"/>
    <mergeCell ref="A35:B35"/>
    <mergeCell ref="C35:D35"/>
    <mergeCell ref="B41:C41"/>
    <mergeCell ref="B37:C37"/>
    <mergeCell ref="A27:B27"/>
    <mergeCell ref="B39:C39"/>
    <mergeCell ref="A36:D36"/>
    <mergeCell ref="C29:D29"/>
    <mergeCell ref="C30:D30"/>
    <mergeCell ref="A5:B5"/>
    <mergeCell ref="A26:D26"/>
    <mergeCell ref="A19:B20"/>
    <mergeCell ref="F34:F36"/>
    <mergeCell ref="C28:D28"/>
    <mergeCell ref="A21:D21"/>
    <mergeCell ref="A6:B6"/>
    <mergeCell ref="F7:F8"/>
    <mergeCell ref="A31:D31"/>
    <mergeCell ref="A32:B32"/>
    <mergeCell ref="C32:D32"/>
    <mergeCell ref="A33:B33"/>
    <mergeCell ref="C33:D33"/>
    <mergeCell ref="A34:B34"/>
    <mergeCell ref="C34:D34"/>
    <mergeCell ref="A22:B22"/>
  </mergeCells>
  <phoneticPr fontId="1" type="noConversion"/>
  <dataValidations count="1">
    <dataValidation type="decimal" operator="greaterThan" allowBlank="1" showInputMessage="1" showErrorMessage="1" sqref="B9:B12 B15:B18 C23:D25 C28:D30 D9:D20 C33:D35 D38:D41 H9:J41" xr:uid="{00000000-0002-0000-0100-000000000000}">
      <formula1>0</formula1>
    </dataValidation>
  </dataValidations>
  <pageMargins left="0.25" right="0.25" top="0.5" bottom="0.25" header="0.5" footer="0.5"/>
  <pageSetup scale="66" orientation="portrait" verticalDpi="96"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G250"/>
  <sheetViews>
    <sheetView showGridLines="0" tabSelected="1" topLeftCell="A222" zoomScale="130" zoomScaleNormal="130" workbookViewId="0">
      <selection activeCell="E236" sqref="E236:E250"/>
    </sheetView>
  </sheetViews>
  <sheetFormatPr defaultRowHeight="12.75" x14ac:dyDescent="0.2"/>
  <cols>
    <col min="1" max="1" width="15.140625" style="16" customWidth="1"/>
    <col min="2" max="2" width="88.42578125" style="57" customWidth="1"/>
    <col min="3" max="3" width="12.28515625" customWidth="1"/>
    <col min="4" max="4" width="11.7109375" customWidth="1"/>
    <col min="5" max="5" width="12" customWidth="1"/>
    <col min="6" max="6" width="11" customWidth="1"/>
    <col min="7" max="7" width="11.5703125" customWidth="1"/>
  </cols>
  <sheetData>
    <row r="1" spans="1:7" x14ac:dyDescent="0.2">
      <c r="A1" s="213" t="str">
        <f>Header!A1</f>
        <v>800-22 Aggregate  1/28/21</v>
      </c>
      <c r="B1" s="214"/>
      <c r="C1" s="214"/>
      <c r="D1" s="214"/>
      <c r="E1" s="214"/>
      <c r="F1" s="214"/>
      <c r="G1" s="215"/>
    </row>
    <row r="2" spans="1:7" ht="15.75" customHeight="1" x14ac:dyDescent="0.25">
      <c r="A2" s="216" t="s">
        <v>623</v>
      </c>
      <c r="B2" s="216"/>
      <c r="C2" s="216"/>
      <c r="D2" s="216"/>
      <c r="E2" s="216"/>
      <c r="F2" s="216"/>
      <c r="G2" s="216"/>
    </row>
    <row r="3" spans="1:7" ht="15" customHeight="1" x14ac:dyDescent="0.25">
      <c r="A3" s="218" t="s">
        <v>618</v>
      </c>
      <c r="B3" s="219"/>
      <c r="C3" s="219"/>
      <c r="D3" s="219"/>
      <c r="E3" s="219"/>
      <c r="F3" s="219"/>
      <c r="G3" s="220"/>
    </row>
    <row r="4" spans="1:7" x14ac:dyDescent="0.2">
      <c r="A4" s="46" t="s">
        <v>98</v>
      </c>
      <c r="B4" s="217" t="str">
        <f>IF(Plant_Information!B6="(INSERT VENDOR NAME HERE)","Complete on PLANT INFORMATION TAB",Plant_Information!B6)</f>
        <v>Complete on PLANT INFORMATION TAB</v>
      </c>
      <c r="C4" s="217"/>
      <c r="D4" s="217"/>
      <c r="E4" s="217"/>
      <c r="F4" s="217"/>
      <c r="G4" s="217"/>
    </row>
    <row r="5" spans="1:7" x14ac:dyDescent="0.2">
      <c r="A5" s="28" t="s">
        <v>99</v>
      </c>
      <c r="B5" s="217" t="str">
        <f>IF(Plant_Information!B8="You Must Select a Plant from the List           (Use dropdown button at right) &gt;&gt;&gt;&gt;","Complete on PLANT INFORMATION TAB",Plant_Information!B8)</f>
        <v>LAFARGE-MARBLEHEAD "OSBORNE-CLEVELAND"</v>
      </c>
      <c r="C5" s="217"/>
      <c r="D5" s="217"/>
      <c r="E5" s="217"/>
      <c r="F5" s="217"/>
      <c r="G5" s="217"/>
    </row>
    <row r="6" spans="1:7" ht="24.75" customHeight="1" x14ac:dyDescent="0.2">
      <c r="A6" s="209" t="s">
        <v>108</v>
      </c>
      <c r="B6" s="209"/>
      <c r="C6" s="209"/>
      <c r="D6" s="209"/>
      <c r="E6" s="209"/>
      <c r="F6" s="209"/>
      <c r="G6" s="209"/>
    </row>
    <row r="7" spans="1:7" x14ac:dyDescent="0.2">
      <c r="A7" s="166" t="s">
        <v>109</v>
      </c>
      <c r="B7" s="183" t="s">
        <v>110</v>
      </c>
      <c r="C7" s="166" t="s">
        <v>619</v>
      </c>
      <c r="D7" s="166"/>
      <c r="E7" s="166"/>
      <c r="F7" s="166"/>
      <c r="G7" s="166"/>
    </row>
    <row r="8" spans="1:7" x14ac:dyDescent="0.2">
      <c r="A8" s="166"/>
      <c r="B8" s="210"/>
      <c r="C8" s="12" t="s">
        <v>79</v>
      </c>
      <c r="D8" s="12" t="s">
        <v>111</v>
      </c>
      <c r="E8" s="12" t="s">
        <v>81</v>
      </c>
      <c r="F8" s="12" t="s">
        <v>112</v>
      </c>
      <c r="G8" s="12" t="s">
        <v>46</v>
      </c>
    </row>
    <row r="9" spans="1:7" x14ac:dyDescent="0.2">
      <c r="A9" s="20" t="s">
        <v>113</v>
      </c>
      <c r="B9" s="135" t="s">
        <v>624</v>
      </c>
      <c r="C9" s="133"/>
      <c r="D9" s="64"/>
      <c r="E9" s="64"/>
      <c r="F9" s="64"/>
      <c r="G9" s="64"/>
    </row>
    <row r="10" spans="1:7" x14ac:dyDescent="0.2">
      <c r="A10" s="20" t="s">
        <v>114</v>
      </c>
      <c r="B10" s="136" t="s">
        <v>2892</v>
      </c>
      <c r="C10" s="134"/>
      <c r="D10" s="64"/>
      <c r="E10" s="64"/>
      <c r="F10" s="64"/>
      <c r="G10" s="64"/>
    </row>
    <row r="11" spans="1:7" x14ac:dyDescent="0.2">
      <c r="A11" s="20" t="s">
        <v>115</v>
      </c>
      <c r="B11" s="136" t="s">
        <v>2893</v>
      </c>
      <c r="C11" s="134"/>
      <c r="D11" s="64"/>
      <c r="E11" s="64"/>
      <c r="F11" s="64"/>
      <c r="G11" s="64"/>
    </row>
    <row r="12" spans="1:7" x14ac:dyDescent="0.2">
      <c r="A12" s="20" t="s">
        <v>116</v>
      </c>
      <c r="B12" s="136" t="s">
        <v>2894</v>
      </c>
      <c r="C12" s="133"/>
      <c r="D12" s="64"/>
      <c r="E12" s="64"/>
      <c r="F12" s="64"/>
      <c r="G12" s="64"/>
    </row>
    <row r="13" spans="1:7" x14ac:dyDescent="0.2">
      <c r="A13" s="20" t="s">
        <v>117</v>
      </c>
      <c r="B13" s="136" t="s">
        <v>2895</v>
      </c>
      <c r="C13" s="134"/>
      <c r="D13" s="64"/>
      <c r="E13" s="64"/>
      <c r="F13" s="64"/>
      <c r="G13" s="64"/>
    </row>
    <row r="14" spans="1:7" ht="14.25" x14ac:dyDescent="0.2">
      <c r="A14" s="20" t="s">
        <v>625</v>
      </c>
      <c r="B14" s="135" t="s">
        <v>2896</v>
      </c>
      <c r="C14" s="134"/>
      <c r="D14" s="64"/>
      <c r="E14" s="64"/>
      <c r="F14" s="64"/>
      <c r="G14" s="64"/>
    </row>
    <row r="15" spans="1:7" x14ac:dyDescent="0.2">
      <c r="A15" s="20" t="s">
        <v>119</v>
      </c>
      <c r="B15" s="136" t="s">
        <v>2897</v>
      </c>
      <c r="C15" s="133"/>
      <c r="D15" s="64"/>
      <c r="E15" s="64"/>
      <c r="F15" s="64"/>
      <c r="G15" s="64"/>
    </row>
    <row r="16" spans="1:7" x14ac:dyDescent="0.2">
      <c r="A16" s="20" t="s">
        <v>120</v>
      </c>
      <c r="B16" s="136" t="s">
        <v>2898</v>
      </c>
      <c r="C16" s="134"/>
      <c r="D16" s="64"/>
      <c r="E16" s="64"/>
      <c r="F16" s="64"/>
      <c r="G16" s="64"/>
    </row>
    <row r="17" spans="1:7" ht="24.75" customHeight="1" x14ac:dyDescent="0.2">
      <c r="A17" s="211" t="s">
        <v>121</v>
      </c>
      <c r="B17" s="212"/>
      <c r="C17" s="211"/>
      <c r="D17" s="211"/>
      <c r="E17" s="211"/>
      <c r="F17" s="211"/>
      <c r="G17" s="211"/>
    </row>
    <row r="18" spans="1:7" x14ac:dyDescent="0.2">
      <c r="A18" s="166" t="s">
        <v>109</v>
      </c>
      <c r="B18" s="183" t="s">
        <v>110</v>
      </c>
      <c r="C18" s="166" t="s">
        <v>619</v>
      </c>
      <c r="D18" s="166"/>
      <c r="E18" s="166"/>
      <c r="F18" s="166"/>
      <c r="G18" s="166"/>
    </row>
    <row r="19" spans="1:7" x14ac:dyDescent="0.2">
      <c r="A19" s="166"/>
      <c r="B19" s="183"/>
      <c r="C19" s="12" t="s">
        <v>79</v>
      </c>
      <c r="D19" s="12" t="s">
        <v>111</v>
      </c>
      <c r="E19" s="12" t="s">
        <v>81</v>
      </c>
      <c r="F19" s="12" t="s">
        <v>112</v>
      </c>
      <c r="G19" s="12" t="s">
        <v>46</v>
      </c>
    </row>
    <row r="20" spans="1:7" x14ac:dyDescent="0.2">
      <c r="A20" s="67" t="s">
        <v>122</v>
      </c>
      <c r="B20" s="68" t="s">
        <v>2901</v>
      </c>
      <c r="C20" s="23"/>
      <c r="D20" s="64"/>
      <c r="E20" s="64"/>
      <c r="F20" s="64"/>
      <c r="G20" s="64"/>
    </row>
    <row r="21" spans="1:7" x14ac:dyDescent="0.2">
      <c r="A21" s="67" t="s">
        <v>123</v>
      </c>
      <c r="B21" s="66" t="s">
        <v>626</v>
      </c>
      <c r="C21" s="23"/>
      <c r="D21" s="64"/>
      <c r="E21" s="64"/>
      <c r="F21" s="64"/>
      <c r="G21" s="64"/>
    </row>
    <row r="22" spans="1:7" x14ac:dyDescent="0.2">
      <c r="A22" s="67" t="s">
        <v>124</v>
      </c>
      <c r="B22" s="66" t="s">
        <v>627</v>
      </c>
      <c r="C22" s="23"/>
      <c r="D22" s="64"/>
      <c r="E22" s="64"/>
      <c r="F22" s="64"/>
      <c r="G22" s="64"/>
    </row>
    <row r="23" spans="1:7" x14ac:dyDescent="0.2">
      <c r="A23" s="67" t="s">
        <v>125</v>
      </c>
      <c r="B23" s="68" t="s">
        <v>126</v>
      </c>
      <c r="C23" s="23"/>
      <c r="D23" s="64"/>
      <c r="E23" s="64"/>
      <c r="F23" s="64"/>
      <c r="G23" s="64"/>
    </row>
    <row r="24" spans="1:7" ht="12.75" customHeight="1" x14ac:dyDescent="0.2">
      <c r="A24" s="67" t="s">
        <v>125</v>
      </c>
      <c r="B24" s="68" t="s">
        <v>2899</v>
      </c>
      <c r="C24" s="23"/>
      <c r="D24" s="64"/>
      <c r="E24" s="64"/>
      <c r="F24" s="64"/>
      <c r="G24" s="64"/>
    </row>
    <row r="25" spans="1:7" x14ac:dyDescent="0.2">
      <c r="A25" s="67" t="s">
        <v>127</v>
      </c>
      <c r="B25" s="66" t="s">
        <v>2900</v>
      </c>
      <c r="C25" s="23"/>
      <c r="D25" s="64"/>
      <c r="E25" s="64"/>
      <c r="F25" s="64"/>
      <c r="G25" s="64"/>
    </row>
    <row r="26" spans="1:7" x14ac:dyDescent="0.2">
      <c r="A26" s="67" t="s">
        <v>128</v>
      </c>
      <c r="B26" s="68" t="s">
        <v>129</v>
      </c>
      <c r="C26" s="23"/>
      <c r="D26" s="64"/>
      <c r="E26" s="64"/>
      <c r="F26" s="64"/>
      <c r="G26" s="64"/>
    </row>
    <row r="27" spans="1:7" x14ac:dyDescent="0.2">
      <c r="A27" s="67" t="s">
        <v>130</v>
      </c>
      <c r="B27" s="68" t="s">
        <v>131</v>
      </c>
      <c r="C27" s="23"/>
      <c r="D27" s="64"/>
      <c r="E27" s="64"/>
      <c r="F27" s="64"/>
      <c r="G27" s="64"/>
    </row>
    <row r="28" spans="1:7" x14ac:dyDescent="0.2">
      <c r="A28" s="67" t="s">
        <v>132</v>
      </c>
      <c r="B28" s="66" t="s">
        <v>628</v>
      </c>
      <c r="C28" s="23"/>
      <c r="D28" s="64"/>
      <c r="E28" s="64"/>
      <c r="F28" s="64"/>
      <c r="G28" s="64"/>
    </row>
    <row r="29" spans="1:7" x14ac:dyDescent="0.2">
      <c r="A29" s="67" t="s">
        <v>132</v>
      </c>
      <c r="B29" s="66" t="s">
        <v>3027</v>
      </c>
      <c r="C29" s="23"/>
      <c r="D29" s="64"/>
      <c r="E29" s="64"/>
      <c r="F29" s="64"/>
      <c r="G29" s="64"/>
    </row>
    <row r="30" spans="1:7" x14ac:dyDescent="0.2">
      <c r="A30" s="67" t="s">
        <v>132</v>
      </c>
      <c r="B30" s="68" t="s">
        <v>133</v>
      </c>
      <c r="C30" s="23"/>
      <c r="D30" s="64"/>
      <c r="E30" s="64"/>
      <c r="F30" s="64"/>
      <c r="G30" s="64"/>
    </row>
    <row r="31" spans="1:7" ht="24.75" customHeight="1" x14ac:dyDescent="0.2">
      <c r="A31" s="205" t="s">
        <v>134</v>
      </c>
      <c r="B31" s="206"/>
      <c r="C31" s="206"/>
      <c r="D31" s="206"/>
      <c r="E31" s="206"/>
      <c r="F31" s="206"/>
      <c r="G31" s="207"/>
    </row>
    <row r="32" spans="1:7" x14ac:dyDescent="0.2">
      <c r="A32" s="166" t="s">
        <v>109</v>
      </c>
      <c r="B32" s="183" t="s">
        <v>110</v>
      </c>
      <c r="C32" s="166" t="s">
        <v>619</v>
      </c>
      <c r="D32" s="166"/>
      <c r="E32" s="166"/>
      <c r="F32" s="166"/>
      <c r="G32" s="166"/>
    </row>
    <row r="33" spans="1:7" x14ac:dyDescent="0.2">
      <c r="A33" s="166"/>
      <c r="B33" s="183"/>
      <c r="C33" s="12" t="s">
        <v>79</v>
      </c>
      <c r="D33" s="12" t="s">
        <v>111</v>
      </c>
      <c r="E33" s="12" t="s">
        <v>81</v>
      </c>
      <c r="F33" s="12" t="s">
        <v>112</v>
      </c>
      <c r="G33" s="12" t="s">
        <v>46</v>
      </c>
    </row>
    <row r="34" spans="1:7" x14ac:dyDescent="0.2">
      <c r="A34" s="67" t="s">
        <v>135</v>
      </c>
      <c r="B34" s="68" t="s">
        <v>2902</v>
      </c>
      <c r="C34" s="23"/>
      <c r="D34" s="64"/>
      <c r="E34" s="64"/>
      <c r="F34" s="64"/>
      <c r="G34" s="64"/>
    </row>
    <row r="35" spans="1:7" x14ac:dyDescent="0.2">
      <c r="A35" s="67" t="s">
        <v>135</v>
      </c>
      <c r="B35" s="68" t="s">
        <v>3028</v>
      </c>
      <c r="C35" s="23"/>
      <c r="D35" s="64"/>
      <c r="E35" s="64"/>
      <c r="F35" s="64"/>
      <c r="G35" s="64"/>
    </row>
    <row r="36" spans="1:7" x14ac:dyDescent="0.2">
      <c r="A36" s="67" t="s">
        <v>136</v>
      </c>
      <c r="B36" s="66" t="s">
        <v>629</v>
      </c>
      <c r="C36" s="23"/>
      <c r="D36" s="64"/>
      <c r="E36" s="64"/>
      <c r="F36" s="64"/>
      <c r="G36" s="64"/>
    </row>
    <row r="37" spans="1:7" x14ac:dyDescent="0.2">
      <c r="A37" s="67" t="s">
        <v>137</v>
      </c>
      <c r="B37" s="68" t="s">
        <v>2903</v>
      </c>
      <c r="C37" s="23"/>
      <c r="D37" s="64"/>
      <c r="E37" s="64"/>
      <c r="F37" s="64"/>
      <c r="G37" s="64"/>
    </row>
    <row r="38" spans="1:7" x14ac:dyDescent="0.2">
      <c r="A38" s="67" t="s">
        <v>137</v>
      </c>
      <c r="B38" s="68" t="s">
        <v>2904</v>
      </c>
      <c r="C38" s="23"/>
      <c r="D38" s="64"/>
      <c r="E38" s="64"/>
      <c r="F38" s="64"/>
      <c r="G38" s="64"/>
    </row>
    <row r="39" spans="1:7" x14ac:dyDescent="0.2">
      <c r="A39" s="67" t="s">
        <v>138</v>
      </c>
      <c r="B39" s="68" t="s">
        <v>2905</v>
      </c>
      <c r="C39" s="23"/>
      <c r="D39" s="64"/>
      <c r="E39" s="64"/>
      <c r="F39" s="64"/>
      <c r="G39" s="64"/>
    </row>
    <row r="40" spans="1:7" x14ac:dyDescent="0.2">
      <c r="A40" s="67" t="s">
        <v>138</v>
      </c>
      <c r="B40" s="68" t="s">
        <v>3030</v>
      </c>
      <c r="C40" s="23"/>
      <c r="D40" s="64"/>
      <c r="E40" s="64"/>
      <c r="F40" s="64"/>
      <c r="G40" s="64"/>
    </row>
    <row r="41" spans="1:7" x14ac:dyDescent="0.2">
      <c r="A41" s="67" t="s">
        <v>139</v>
      </c>
      <c r="B41" s="68" t="s">
        <v>2906</v>
      </c>
      <c r="C41" s="23"/>
      <c r="D41" s="64"/>
      <c r="E41" s="64"/>
      <c r="F41" s="64"/>
      <c r="G41" s="64"/>
    </row>
    <row r="42" spans="1:7" x14ac:dyDescent="0.2">
      <c r="A42" s="67" t="s">
        <v>139</v>
      </c>
      <c r="B42" s="68" t="s">
        <v>2907</v>
      </c>
      <c r="C42" s="23"/>
      <c r="D42" s="64"/>
      <c r="E42" s="64"/>
      <c r="F42" s="64"/>
      <c r="G42" s="64"/>
    </row>
    <row r="43" spans="1:7" x14ac:dyDescent="0.2">
      <c r="A43" s="67" t="s">
        <v>139</v>
      </c>
      <c r="B43" s="68" t="s">
        <v>3029</v>
      </c>
      <c r="C43" s="23"/>
      <c r="D43" s="64"/>
      <c r="E43" s="64"/>
      <c r="F43" s="64"/>
      <c r="G43" s="64"/>
    </row>
    <row r="44" spans="1:7" x14ac:dyDescent="0.2">
      <c r="A44" s="67" t="s">
        <v>140</v>
      </c>
      <c r="B44" s="68" t="s">
        <v>2909</v>
      </c>
      <c r="C44" s="23"/>
      <c r="D44" s="64"/>
      <c r="E44" s="64"/>
      <c r="F44" s="64"/>
      <c r="G44" s="64"/>
    </row>
    <row r="45" spans="1:7" x14ac:dyDescent="0.2">
      <c r="A45" s="67" t="s">
        <v>140</v>
      </c>
      <c r="B45" s="68" t="s">
        <v>2908</v>
      </c>
      <c r="C45" s="23"/>
      <c r="D45" s="64"/>
      <c r="E45" s="64"/>
      <c r="F45" s="64"/>
      <c r="G45" s="64"/>
    </row>
    <row r="46" spans="1:7" x14ac:dyDescent="0.2">
      <c r="A46" s="67" t="s">
        <v>140</v>
      </c>
      <c r="B46" s="68" t="s">
        <v>2910</v>
      </c>
      <c r="C46" s="23"/>
      <c r="D46" s="64"/>
      <c r="E46" s="64"/>
      <c r="F46" s="64"/>
      <c r="G46" s="64"/>
    </row>
    <row r="47" spans="1:7" x14ac:dyDescent="0.2">
      <c r="A47" s="67" t="s">
        <v>141</v>
      </c>
      <c r="B47" s="68" t="s">
        <v>2911</v>
      </c>
      <c r="C47" s="23"/>
      <c r="D47" s="64"/>
      <c r="E47" s="64"/>
      <c r="F47" s="64"/>
      <c r="G47" s="64"/>
    </row>
    <row r="48" spans="1:7" x14ac:dyDescent="0.2">
      <c r="A48" s="67" t="s">
        <v>141</v>
      </c>
      <c r="B48" s="68" t="s">
        <v>2912</v>
      </c>
      <c r="C48" s="23"/>
      <c r="D48" s="64"/>
      <c r="E48" s="64"/>
      <c r="F48" s="64"/>
      <c r="G48" s="64"/>
    </row>
    <row r="49" spans="1:7" x14ac:dyDescent="0.2">
      <c r="A49" s="67" t="s">
        <v>142</v>
      </c>
      <c r="B49" s="66" t="s">
        <v>630</v>
      </c>
      <c r="C49" s="23"/>
      <c r="D49" s="64"/>
      <c r="E49" s="64"/>
      <c r="F49" s="64"/>
      <c r="G49" s="64"/>
    </row>
    <row r="50" spans="1:7" ht="24.75" customHeight="1" x14ac:dyDescent="0.2">
      <c r="A50" s="205" t="s">
        <v>143</v>
      </c>
      <c r="B50" s="206"/>
      <c r="C50" s="206"/>
      <c r="D50" s="206"/>
      <c r="E50" s="206"/>
      <c r="F50" s="206"/>
      <c r="G50" s="207"/>
    </row>
    <row r="51" spans="1:7" x14ac:dyDescent="0.2">
      <c r="A51" s="166" t="s">
        <v>109</v>
      </c>
      <c r="B51" s="183" t="s">
        <v>110</v>
      </c>
      <c r="C51" s="166" t="s">
        <v>619</v>
      </c>
      <c r="D51" s="166"/>
      <c r="E51" s="166"/>
      <c r="F51" s="166"/>
      <c r="G51" s="166"/>
    </row>
    <row r="52" spans="1:7" x14ac:dyDescent="0.2">
      <c r="A52" s="166"/>
      <c r="B52" s="183"/>
      <c r="C52" s="12" t="s">
        <v>79</v>
      </c>
      <c r="D52" s="12" t="s">
        <v>111</v>
      </c>
      <c r="E52" s="12" t="s">
        <v>81</v>
      </c>
      <c r="F52" s="12" t="s">
        <v>112</v>
      </c>
      <c r="G52" s="12" t="s">
        <v>46</v>
      </c>
    </row>
    <row r="53" spans="1:7" x14ac:dyDescent="0.2">
      <c r="A53" s="20" t="s">
        <v>144</v>
      </c>
      <c r="B53" s="21" t="s">
        <v>3037</v>
      </c>
      <c r="C53" s="23"/>
      <c r="D53" s="64"/>
      <c r="E53" s="64"/>
      <c r="F53" s="64"/>
      <c r="G53" s="64"/>
    </row>
    <row r="54" spans="1:7" x14ac:dyDescent="0.2">
      <c r="A54" s="20" t="s">
        <v>144</v>
      </c>
      <c r="B54" s="21" t="s">
        <v>3038</v>
      </c>
      <c r="C54" s="23"/>
      <c r="D54" s="64"/>
      <c r="E54" s="64"/>
      <c r="F54" s="64"/>
      <c r="G54" s="64"/>
    </row>
    <row r="55" spans="1:7" x14ac:dyDescent="0.2">
      <c r="A55" s="20" t="s">
        <v>144</v>
      </c>
      <c r="B55" s="21" t="s">
        <v>3039</v>
      </c>
      <c r="C55" s="23"/>
      <c r="D55" s="64"/>
      <c r="E55" s="64"/>
      <c r="F55" s="64"/>
      <c r="G55" s="64"/>
    </row>
    <row r="56" spans="1:7" x14ac:dyDescent="0.2">
      <c r="A56" s="20" t="s">
        <v>144</v>
      </c>
      <c r="B56" s="21" t="s">
        <v>3040</v>
      </c>
      <c r="C56" s="23"/>
      <c r="D56" s="64"/>
      <c r="E56" s="64"/>
      <c r="F56" s="64"/>
      <c r="G56" s="64"/>
    </row>
    <row r="57" spans="1:7" x14ac:dyDescent="0.2">
      <c r="A57" s="20" t="s">
        <v>144</v>
      </c>
      <c r="B57" s="21" t="s">
        <v>3041</v>
      </c>
      <c r="C57" s="23"/>
      <c r="D57" s="64"/>
      <c r="E57" s="64"/>
      <c r="F57" s="64"/>
      <c r="G57" s="64"/>
    </row>
    <row r="58" spans="1:7" x14ac:dyDescent="0.2">
      <c r="A58" s="20" t="s">
        <v>144</v>
      </c>
      <c r="B58" s="21" t="s">
        <v>3042</v>
      </c>
      <c r="C58" s="23"/>
      <c r="D58" s="64"/>
      <c r="E58" s="64"/>
      <c r="F58" s="64"/>
      <c r="G58" s="64"/>
    </row>
    <row r="59" spans="1:7" x14ac:dyDescent="0.2">
      <c r="A59" s="20" t="s">
        <v>145</v>
      </c>
      <c r="B59" s="21" t="s">
        <v>3043</v>
      </c>
      <c r="C59" s="23"/>
      <c r="D59" s="64"/>
      <c r="E59" s="64"/>
      <c r="F59" s="64"/>
      <c r="G59" s="64"/>
    </row>
    <row r="60" spans="1:7" x14ac:dyDescent="0.2">
      <c r="A60" s="20" t="s">
        <v>145</v>
      </c>
      <c r="B60" s="21" t="s">
        <v>3044</v>
      </c>
      <c r="C60" s="23"/>
      <c r="D60" s="64"/>
      <c r="E60" s="64"/>
      <c r="F60" s="64"/>
      <c r="G60" s="64"/>
    </row>
    <row r="61" spans="1:7" x14ac:dyDescent="0.2">
      <c r="A61" s="20" t="s">
        <v>145</v>
      </c>
      <c r="B61" s="21" t="s">
        <v>3045</v>
      </c>
      <c r="C61" s="23"/>
      <c r="D61" s="64"/>
      <c r="E61" s="64"/>
      <c r="F61" s="64"/>
      <c r="G61" s="64"/>
    </row>
    <row r="62" spans="1:7" x14ac:dyDescent="0.2">
      <c r="A62" s="20" t="s">
        <v>145</v>
      </c>
      <c r="B62" s="21" t="s">
        <v>3046</v>
      </c>
      <c r="C62" s="23"/>
      <c r="D62" s="64"/>
      <c r="E62" s="64"/>
      <c r="F62" s="64"/>
      <c r="G62" s="64"/>
    </row>
    <row r="63" spans="1:7" x14ac:dyDescent="0.2">
      <c r="A63" s="20" t="s">
        <v>145</v>
      </c>
      <c r="B63" s="21" t="s">
        <v>3047</v>
      </c>
      <c r="C63" s="23"/>
      <c r="D63" s="64"/>
      <c r="E63" s="64"/>
      <c r="F63" s="64"/>
      <c r="G63" s="64"/>
    </row>
    <row r="64" spans="1:7" x14ac:dyDescent="0.2">
      <c r="A64" s="20" t="s">
        <v>146</v>
      </c>
      <c r="B64" s="21" t="s">
        <v>3048</v>
      </c>
      <c r="C64" s="23"/>
      <c r="D64" s="64"/>
      <c r="E64" s="64"/>
      <c r="F64" s="64"/>
      <c r="G64" s="64"/>
    </row>
    <row r="65" spans="1:7" x14ac:dyDescent="0.2">
      <c r="A65" s="20" t="s">
        <v>146</v>
      </c>
      <c r="B65" s="21" t="s">
        <v>3035</v>
      </c>
      <c r="C65" s="23"/>
      <c r="D65" s="64"/>
      <c r="E65" s="64"/>
      <c r="F65" s="64"/>
      <c r="G65" s="64"/>
    </row>
    <row r="66" spans="1:7" x14ac:dyDescent="0.2">
      <c r="A66" s="67" t="s">
        <v>146</v>
      </c>
      <c r="B66" s="68" t="s">
        <v>631</v>
      </c>
      <c r="C66" s="23"/>
      <c r="D66" s="64"/>
      <c r="E66" s="64"/>
      <c r="F66" s="64"/>
      <c r="G66" s="64"/>
    </row>
    <row r="67" spans="1:7" x14ac:dyDescent="0.2">
      <c r="A67" s="20" t="s">
        <v>147</v>
      </c>
      <c r="B67" s="21" t="s">
        <v>47</v>
      </c>
      <c r="C67" s="23"/>
      <c r="D67" s="64"/>
      <c r="E67" s="64"/>
      <c r="F67" s="64"/>
      <c r="G67" s="64"/>
    </row>
    <row r="68" spans="1:7" x14ac:dyDescent="0.2">
      <c r="A68" s="20" t="s">
        <v>147</v>
      </c>
      <c r="B68" s="21" t="s">
        <v>3049</v>
      </c>
      <c r="C68" s="23"/>
      <c r="D68" s="64"/>
      <c r="E68" s="64"/>
      <c r="F68" s="64"/>
      <c r="G68" s="64"/>
    </row>
    <row r="69" spans="1:7" x14ac:dyDescent="0.2">
      <c r="A69" s="20" t="s">
        <v>147</v>
      </c>
      <c r="B69" s="21" t="s">
        <v>3036</v>
      </c>
      <c r="C69" s="23"/>
      <c r="D69" s="64"/>
      <c r="E69" s="64"/>
      <c r="F69" s="64"/>
      <c r="G69" s="64"/>
    </row>
    <row r="70" spans="1:7" x14ac:dyDescent="0.2">
      <c r="A70" s="20" t="s">
        <v>148</v>
      </c>
      <c r="B70" s="21" t="s">
        <v>3050</v>
      </c>
      <c r="C70" s="23"/>
      <c r="D70" s="64"/>
      <c r="E70" s="64"/>
      <c r="F70" s="64"/>
      <c r="G70" s="64"/>
    </row>
    <row r="71" spans="1:7" x14ac:dyDescent="0.2">
      <c r="A71" s="20" t="s">
        <v>148</v>
      </c>
      <c r="B71" s="21" t="s">
        <v>3051</v>
      </c>
      <c r="C71" s="23"/>
      <c r="D71" s="64"/>
      <c r="E71" s="64"/>
      <c r="F71" s="64"/>
      <c r="G71" s="64"/>
    </row>
    <row r="72" spans="1:7" x14ac:dyDescent="0.2">
      <c r="A72" s="20" t="s">
        <v>148</v>
      </c>
      <c r="B72" s="21" t="s">
        <v>3052</v>
      </c>
      <c r="C72" s="23"/>
      <c r="D72" s="64"/>
      <c r="E72" s="64"/>
      <c r="F72" s="64"/>
      <c r="G72" s="64"/>
    </row>
    <row r="73" spans="1:7" x14ac:dyDescent="0.2">
      <c r="A73" s="20" t="s">
        <v>148</v>
      </c>
      <c r="B73" s="21" t="s">
        <v>3053</v>
      </c>
      <c r="C73" s="23"/>
      <c r="D73" s="64"/>
      <c r="E73" s="64"/>
      <c r="F73" s="64"/>
      <c r="G73" s="64"/>
    </row>
    <row r="74" spans="1:7" x14ac:dyDescent="0.2">
      <c r="A74" s="20" t="s">
        <v>148</v>
      </c>
      <c r="B74" s="21" t="s">
        <v>3054</v>
      </c>
      <c r="C74" s="23"/>
      <c r="D74" s="64"/>
      <c r="E74" s="64"/>
      <c r="F74" s="64"/>
      <c r="G74" s="64"/>
    </row>
    <row r="75" spans="1:7" x14ac:dyDescent="0.2">
      <c r="A75" s="20" t="s">
        <v>149</v>
      </c>
      <c r="B75" s="21" t="s">
        <v>3055</v>
      </c>
      <c r="C75" s="23"/>
      <c r="D75" s="64"/>
      <c r="E75" s="64"/>
      <c r="F75" s="64"/>
      <c r="G75" s="64"/>
    </row>
    <row r="76" spans="1:7" x14ac:dyDescent="0.2">
      <c r="A76" s="20" t="s">
        <v>149</v>
      </c>
      <c r="B76" s="21" t="s">
        <v>3056</v>
      </c>
      <c r="C76" s="23"/>
      <c r="D76" s="64"/>
      <c r="E76" s="64"/>
      <c r="F76" s="64"/>
      <c r="G76" s="64"/>
    </row>
    <row r="77" spans="1:7" x14ac:dyDescent="0.2">
      <c r="A77" s="20" t="s">
        <v>149</v>
      </c>
      <c r="B77" s="21" t="s">
        <v>3057</v>
      </c>
      <c r="C77" s="23"/>
      <c r="D77" s="64"/>
      <c r="E77" s="64"/>
      <c r="F77" s="64"/>
      <c r="G77" s="64"/>
    </row>
    <row r="78" spans="1:7" x14ac:dyDescent="0.2">
      <c r="A78" s="20" t="s">
        <v>149</v>
      </c>
      <c r="B78" s="21" t="s">
        <v>3058</v>
      </c>
      <c r="C78" s="23"/>
      <c r="D78" s="64"/>
      <c r="E78" s="64"/>
      <c r="F78" s="64"/>
      <c r="G78" s="64"/>
    </row>
    <row r="79" spans="1:7" x14ac:dyDescent="0.2">
      <c r="A79" s="20" t="s">
        <v>149</v>
      </c>
      <c r="B79" s="21" t="s">
        <v>3059</v>
      </c>
      <c r="C79" s="23"/>
      <c r="D79" s="64"/>
      <c r="E79" s="64"/>
      <c r="F79" s="64"/>
      <c r="G79" s="64"/>
    </row>
    <row r="80" spans="1:7" ht="24.75" customHeight="1" x14ac:dyDescent="0.2">
      <c r="A80" s="205" t="s">
        <v>150</v>
      </c>
      <c r="B80" s="206"/>
      <c r="C80" s="206"/>
      <c r="D80" s="206"/>
      <c r="E80" s="206"/>
      <c r="F80" s="206"/>
      <c r="G80" s="207"/>
    </row>
    <row r="81" spans="1:7" x14ac:dyDescent="0.2">
      <c r="A81" s="208" t="s">
        <v>109</v>
      </c>
      <c r="B81" s="183" t="s">
        <v>110</v>
      </c>
      <c r="C81" s="166" t="s">
        <v>619</v>
      </c>
      <c r="D81" s="166"/>
      <c r="E81" s="166"/>
      <c r="F81" s="166"/>
      <c r="G81" s="166"/>
    </row>
    <row r="82" spans="1:7" x14ac:dyDescent="0.2">
      <c r="A82" s="208"/>
      <c r="B82" s="183"/>
      <c r="C82" s="12" t="s">
        <v>79</v>
      </c>
      <c r="D82" s="12" t="s">
        <v>111</v>
      </c>
      <c r="E82" s="12" t="s">
        <v>81</v>
      </c>
      <c r="F82" s="12" t="s">
        <v>112</v>
      </c>
      <c r="G82" s="12" t="s">
        <v>46</v>
      </c>
    </row>
    <row r="83" spans="1:7" x14ac:dyDescent="0.2">
      <c r="A83" s="20" t="s">
        <v>151</v>
      </c>
      <c r="B83" s="65" t="s">
        <v>2913</v>
      </c>
      <c r="C83" s="23"/>
      <c r="D83" s="64"/>
      <c r="E83" s="64"/>
      <c r="F83" s="64"/>
      <c r="G83" s="64"/>
    </row>
    <row r="84" spans="1:7" x14ac:dyDescent="0.2">
      <c r="A84" s="20" t="s">
        <v>151</v>
      </c>
      <c r="B84" s="65" t="s">
        <v>2914</v>
      </c>
      <c r="C84" s="23"/>
      <c r="D84" s="64"/>
      <c r="E84" s="64"/>
      <c r="F84" s="64"/>
      <c r="G84" s="64"/>
    </row>
    <row r="85" spans="1:7" x14ac:dyDescent="0.2">
      <c r="A85" s="20" t="s">
        <v>152</v>
      </c>
      <c r="B85" s="65" t="s">
        <v>2915</v>
      </c>
      <c r="C85" s="23"/>
      <c r="D85" s="64"/>
      <c r="E85" s="64"/>
      <c r="F85" s="64"/>
      <c r="G85" s="64"/>
    </row>
    <row r="86" spans="1:7" x14ac:dyDescent="0.2">
      <c r="A86" s="20" t="s">
        <v>152</v>
      </c>
      <c r="B86" s="65" t="s">
        <v>632</v>
      </c>
      <c r="C86" s="23"/>
      <c r="D86" s="64"/>
      <c r="E86" s="64"/>
      <c r="F86" s="64"/>
      <c r="G86" s="64"/>
    </row>
    <row r="87" spans="1:7" x14ac:dyDescent="0.2">
      <c r="A87" s="20" t="s">
        <v>152</v>
      </c>
      <c r="B87" s="65" t="s">
        <v>2916</v>
      </c>
      <c r="C87" s="23"/>
      <c r="D87" s="64"/>
      <c r="E87" s="64"/>
      <c r="F87" s="64"/>
      <c r="G87" s="64"/>
    </row>
    <row r="88" spans="1:7" x14ac:dyDescent="0.2">
      <c r="A88" s="20" t="s">
        <v>153</v>
      </c>
      <c r="B88" s="65" t="s">
        <v>2917</v>
      </c>
      <c r="C88" s="23"/>
      <c r="D88" s="64"/>
      <c r="E88" s="64"/>
      <c r="F88" s="64"/>
      <c r="G88" s="64"/>
    </row>
    <row r="89" spans="1:7" x14ac:dyDescent="0.2">
      <c r="A89" s="20" t="s">
        <v>153</v>
      </c>
      <c r="B89" s="65" t="s">
        <v>2918</v>
      </c>
      <c r="C89" s="23"/>
      <c r="D89" s="64"/>
      <c r="E89" s="64"/>
      <c r="F89" s="64"/>
      <c r="G89" s="64"/>
    </row>
    <row r="90" spans="1:7" x14ac:dyDescent="0.2">
      <c r="A90" s="20" t="s">
        <v>153</v>
      </c>
      <c r="B90" s="21" t="s">
        <v>2919</v>
      </c>
      <c r="C90" s="23"/>
      <c r="D90" s="64"/>
      <c r="E90" s="64"/>
      <c r="F90" s="64"/>
      <c r="G90" s="64"/>
    </row>
    <row r="91" spans="1:7" x14ac:dyDescent="0.2">
      <c r="A91" s="20" t="s">
        <v>154</v>
      </c>
      <c r="B91" s="65" t="s">
        <v>2920</v>
      </c>
      <c r="C91" s="23"/>
      <c r="D91" s="64"/>
      <c r="E91" s="64"/>
      <c r="F91" s="64"/>
      <c r="G91" s="64"/>
    </row>
    <row r="92" spans="1:7" x14ac:dyDescent="0.2">
      <c r="A92" s="20" t="s">
        <v>154</v>
      </c>
      <c r="B92" s="65" t="s">
        <v>2921</v>
      </c>
      <c r="C92" s="23"/>
      <c r="D92" s="64"/>
      <c r="E92" s="64"/>
      <c r="F92" s="64"/>
      <c r="G92" s="64"/>
    </row>
    <row r="93" spans="1:7" x14ac:dyDescent="0.2">
      <c r="A93" s="20" t="s">
        <v>155</v>
      </c>
      <c r="B93" s="65" t="s">
        <v>2922</v>
      </c>
      <c r="C93" s="23"/>
      <c r="D93" s="64"/>
      <c r="E93" s="64"/>
      <c r="F93" s="64"/>
      <c r="G93" s="64"/>
    </row>
    <row r="94" spans="1:7" x14ac:dyDescent="0.2">
      <c r="A94" s="20" t="s">
        <v>155</v>
      </c>
      <c r="B94" s="65" t="s">
        <v>2923</v>
      </c>
      <c r="C94" s="23"/>
      <c r="D94" s="64"/>
      <c r="E94" s="64"/>
      <c r="F94" s="64"/>
      <c r="G94" s="64"/>
    </row>
    <row r="95" spans="1:7" x14ac:dyDescent="0.2">
      <c r="A95" s="20" t="s">
        <v>155</v>
      </c>
      <c r="B95" s="65" t="s">
        <v>2924</v>
      </c>
      <c r="C95" s="23"/>
      <c r="D95" s="64"/>
      <c r="E95" s="64"/>
      <c r="F95" s="64"/>
      <c r="G95" s="64"/>
    </row>
    <row r="96" spans="1:7" x14ac:dyDescent="0.2">
      <c r="A96" s="20" t="s">
        <v>155</v>
      </c>
      <c r="B96" s="65" t="s">
        <v>2925</v>
      </c>
      <c r="C96" s="23"/>
      <c r="D96" s="64"/>
      <c r="E96" s="64"/>
      <c r="F96" s="64"/>
      <c r="G96" s="64"/>
    </row>
    <row r="97" spans="1:7" x14ac:dyDescent="0.2">
      <c r="A97" s="20" t="s">
        <v>155</v>
      </c>
      <c r="B97" s="65" t="s">
        <v>2926</v>
      </c>
      <c r="C97" s="23"/>
      <c r="D97" s="64"/>
      <c r="E97" s="64"/>
      <c r="F97" s="64"/>
      <c r="G97" s="64"/>
    </row>
    <row r="98" spans="1:7" x14ac:dyDescent="0.2">
      <c r="A98" s="20" t="s">
        <v>156</v>
      </c>
      <c r="B98" s="65" t="s">
        <v>2927</v>
      </c>
      <c r="C98" s="23"/>
      <c r="D98" s="64"/>
      <c r="E98" s="64"/>
      <c r="F98" s="64"/>
      <c r="G98" s="64"/>
    </row>
    <row r="99" spans="1:7" x14ac:dyDescent="0.2">
      <c r="A99" s="20" t="s">
        <v>156</v>
      </c>
      <c r="B99" s="65" t="s">
        <v>633</v>
      </c>
      <c r="C99" s="23"/>
      <c r="D99" s="64"/>
      <c r="E99" s="64"/>
      <c r="F99" s="64"/>
      <c r="G99" s="64"/>
    </row>
    <row r="100" spans="1:7" x14ac:dyDescent="0.2">
      <c r="A100" s="20" t="s">
        <v>156</v>
      </c>
      <c r="B100" s="65" t="s">
        <v>2928</v>
      </c>
      <c r="C100" s="23"/>
      <c r="D100" s="64"/>
      <c r="E100" s="64"/>
      <c r="F100" s="64"/>
      <c r="G100" s="64"/>
    </row>
    <row r="101" spans="1:7" x14ac:dyDescent="0.2">
      <c r="A101" s="20" t="s">
        <v>156</v>
      </c>
      <c r="B101" s="21" t="s">
        <v>2929</v>
      </c>
      <c r="C101" s="23"/>
      <c r="D101" s="64"/>
      <c r="E101" s="64"/>
      <c r="F101" s="64"/>
      <c r="G101" s="64"/>
    </row>
    <row r="102" spans="1:7" x14ac:dyDescent="0.2">
      <c r="A102" s="20" t="s">
        <v>157</v>
      </c>
      <c r="B102" s="21" t="s">
        <v>2930</v>
      </c>
      <c r="C102" s="23"/>
      <c r="D102" s="64"/>
      <c r="E102" s="64"/>
      <c r="F102" s="64"/>
      <c r="G102" s="64"/>
    </row>
    <row r="103" spans="1:7" x14ac:dyDescent="0.2">
      <c r="A103" s="20" t="s">
        <v>157</v>
      </c>
      <c r="B103" s="65" t="s">
        <v>2931</v>
      </c>
      <c r="C103" s="23"/>
      <c r="D103" s="64"/>
      <c r="E103" s="64"/>
      <c r="F103" s="64"/>
      <c r="G103" s="64"/>
    </row>
    <row r="104" spans="1:7" ht="24.75" customHeight="1" x14ac:dyDescent="0.2">
      <c r="A104" s="205" t="s">
        <v>158</v>
      </c>
      <c r="B104" s="206"/>
      <c r="C104" s="206"/>
      <c r="D104" s="206"/>
      <c r="E104" s="206"/>
      <c r="F104" s="206"/>
      <c r="G104" s="207"/>
    </row>
    <row r="105" spans="1:7" x14ac:dyDescent="0.2">
      <c r="A105" s="166" t="s">
        <v>109</v>
      </c>
      <c r="B105" s="183" t="s">
        <v>110</v>
      </c>
      <c r="C105" s="166" t="s">
        <v>619</v>
      </c>
      <c r="D105" s="166"/>
      <c r="E105" s="166"/>
      <c r="F105" s="166"/>
      <c r="G105" s="166"/>
    </row>
    <row r="106" spans="1:7" x14ac:dyDescent="0.2">
      <c r="A106" s="166"/>
      <c r="B106" s="183"/>
      <c r="C106" s="12" t="s">
        <v>79</v>
      </c>
      <c r="D106" s="12" t="s">
        <v>111</v>
      </c>
      <c r="E106" s="12" t="s">
        <v>81</v>
      </c>
      <c r="F106" s="12" t="s">
        <v>112</v>
      </c>
      <c r="G106" s="12" t="s">
        <v>46</v>
      </c>
    </row>
    <row r="107" spans="1:7" x14ac:dyDescent="0.2">
      <c r="A107" s="20" t="s">
        <v>159</v>
      </c>
      <c r="B107" s="65" t="s">
        <v>2933</v>
      </c>
      <c r="C107" s="23"/>
      <c r="D107" s="64"/>
      <c r="E107" s="64"/>
      <c r="F107" s="64"/>
      <c r="G107" s="64"/>
    </row>
    <row r="108" spans="1:7" x14ac:dyDescent="0.2">
      <c r="A108" s="20" t="s">
        <v>159</v>
      </c>
      <c r="B108" s="65" t="s">
        <v>2932</v>
      </c>
      <c r="C108" s="23"/>
      <c r="D108" s="64"/>
      <c r="E108" s="64"/>
      <c r="F108" s="64"/>
      <c r="G108" s="64"/>
    </row>
    <row r="109" spans="1:7" x14ac:dyDescent="0.2">
      <c r="A109" s="20" t="s">
        <v>159</v>
      </c>
      <c r="B109" s="66" t="s">
        <v>48</v>
      </c>
      <c r="C109" s="23"/>
      <c r="D109" s="64"/>
      <c r="E109" s="64"/>
      <c r="F109" s="64"/>
      <c r="G109" s="64"/>
    </row>
    <row r="110" spans="1:7" x14ac:dyDescent="0.2">
      <c r="A110" s="20" t="s">
        <v>160</v>
      </c>
      <c r="B110" s="65" t="s">
        <v>2934</v>
      </c>
      <c r="C110" s="23"/>
      <c r="D110" s="64"/>
      <c r="E110" s="64"/>
      <c r="F110" s="64"/>
      <c r="G110" s="64"/>
    </row>
    <row r="111" spans="1:7" x14ac:dyDescent="0.2">
      <c r="A111" s="20" t="s">
        <v>160</v>
      </c>
      <c r="B111" s="65" t="s">
        <v>2935</v>
      </c>
      <c r="C111" s="23"/>
      <c r="D111" s="64"/>
      <c r="E111" s="64"/>
      <c r="F111" s="64"/>
      <c r="G111" s="64"/>
    </row>
    <row r="112" spans="1:7" x14ac:dyDescent="0.2">
      <c r="A112" s="20" t="s">
        <v>161</v>
      </c>
      <c r="B112" s="65" t="s">
        <v>2936</v>
      </c>
      <c r="C112" s="23"/>
      <c r="D112" s="64"/>
      <c r="E112" s="64"/>
      <c r="F112" s="64"/>
      <c r="G112" s="64"/>
    </row>
    <row r="113" spans="1:7" x14ac:dyDescent="0.2">
      <c r="A113" s="20" t="s">
        <v>161</v>
      </c>
      <c r="B113" s="21" t="s">
        <v>2937</v>
      </c>
      <c r="C113" s="23"/>
      <c r="D113" s="64"/>
      <c r="E113" s="64"/>
      <c r="F113" s="64"/>
      <c r="G113" s="64"/>
    </row>
    <row r="114" spans="1:7" x14ac:dyDescent="0.2">
      <c r="A114" s="20" t="s">
        <v>161</v>
      </c>
      <c r="B114" s="21" t="s">
        <v>2939</v>
      </c>
      <c r="C114" s="23"/>
      <c r="D114" s="64"/>
      <c r="E114" s="64"/>
      <c r="F114" s="64"/>
      <c r="G114" s="64"/>
    </row>
    <row r="115" spans="1:7" x14ac:dyDescent="0.2">
      <c r="A115" s="20" t="s">
        <v>161</v>
      </c>
      <c r="B115" s="65" t="s">
        <v>2938</v>
      </c>
      <c r="C115" s="23"/>
      <c r="D115" s="64"/>
      <c r="E115" s="64"/>
      <c r="F115" s="64"/>
      <c r="G115" s="64"/>
    </row>
    <row r="116" spans="1:7" x14ac:dyDescent="0.2">
      <c r="A116" s="20" t="s">
        <v>162</v>
      </c>
      <c r="B116" s="65" t="s">
        <v>634</v>
      </c>
      <c r="C116" s="23"/>
      <c r="D116" s="64"/>
      <c r="E116" s="64"/>
      <c r="F116" s="64"/>
      <c r="G116" s="64"/>
    </row>
    <row r="117" spans="1:7" x14ac:dyDescent="0.2">
      <c r="A117" s="20" t="s">
        <v>162</v>
      </c>
      <c r="B117" s="65" t="s">
        <v>635</v>
      </c>
      <c r="C117" s="23"/>
      <c r="D117" s="64"/>
      <c r="E117" s="64"/>
      <c r="F117" s="64"/>
      <c r="G117" s="64"/>
    </row>
    <row r="118" spans="1:7" x14ac:dyDescent="0.2">
      <c r="A118" s="20" t="s">
        <v>163</v>
      </c>
      <c r="B118" s="65" t="s">
        <v>2940</v>
      </c>
      <c r="C118" s="23"/>
      <c r="D118" s="64"/>
      <c r="E118" s="64"/>
      <c r="F118" s="64"/>
      <c r="G118" s="64"/>
    </row>
    <row r="119" spans="1:7" x14ac:dyDescent="0.2">
      <c r="A119" s="20" t="s">
        <v>164</v>
      </c>
      <c r="B119" s="66" t="s">
        <v>2941</v>
      </c>
      <c r="C119" s="23"/>
      <c r="D119" s="64"/>
      <c r="E119" s="64"/>
      <c r="F119" s="64"/>
      <c r="G119" s="64"/>
    </row>
    <row r="120" spans="1:7" x14ac:dyDescent="0.2">
      <c r="A120" s="20" t="s">
        <v>164</v>
      </c>
      <c r="B120" s="66" t="s">
        <v>2942</v>
      </c>
      <c r="C120" s="23"/>
      <c r="D120" s="64"/>
      <c r="E120" s="64"/>
      <c r="F120" s="64"/>
      <c r="G120" s="64"/>
    </row>
    <row r="121" spans="1:7" x14ac:dyDescent="0.2">
      <c r="A121" s="20" t="s">
        <v>165</v>
      </c>
      <c r="B121" s="66" t="s">
        <v>2943</v>
      </c>
      <c r="C121" s="23"/>
      <c r="D121" s="64"/>
      <c r="E121" s="64"/>
      <c r="F121" s="64"/>
      <c r="G121" s="64"/>
    </row>
    <row r="122" spans="1:7" x14ac:dyDescent="0.2">
      <c r="A122" s="20" t="s">
        <v>166</v>
      </c>
      <c r="B122" s="66" t="s">
        <v>2944</v>
      </c>
      <c r="C122" s="23"/>
      <c r="D122" s="64"/>
      <c r="E122" s="64"/>
      <c r="F122" s="64"/>
      <c r="G122" s="64"/>
    </row>
    <row r="123" spans="1:7" x14ac:dyDescent="0.2">
      <c r="A123" s="20" t="s">
        <v>166</v>
      </c>
      <c r="B123" s="65" t="s">
        <v>2945</v>
      </c>
      <c r="C123" s="23"/>
      <c r="D123" s="64"/>
      <c r="E123" s="64"/>
      <c r="F123" s="64"/>
      <c r="G123" s="64"/>
    </row>
    <row r="124" spans="1:7" ht="24.75" customHeight="1" x14ac:dyDescent="0.2">
      <c r="A124" s="205" t="s">
        <v>167</v>
      </c>
      <c r="B124" s="206"/>
      <c r="C124" s="206"/>
      <c r="D124" s="206"/>
      <c r="E124" s="206"/>
      <c r="F124" s="206"/>
      <c r="G124" s="207"/>
    </row>
    <row r="125" spans="1:7" x14ac:dyDescent="0.2">
      <c r="A125" s="204" t="s">
        <v>109</v>
      </c>
      <c r="B125" s="183" t="s">
        <v>110</v>
      </c>
      <c r="C125" s="166" t="s">
        <v>619</v>
      </c>
      <c r="D125" s="166"/>
      <c r="E125" s="166"/>
      <c r="F125" s="166"/>
      <c r="G125" s="166"/>
    </row>
    <row r="126" spans="1:7" x14ac:dyDescent="0.2">
      <c r="A126" s="204"/>
      <c r="B126" s="183"/>
      <c r="C126" s="12" t="s">
        <v>79</v>
      </c>
      <c r="D126" s="12" t="s">
        <v>111</v>
      </c>
      <c r="E126" s="12" t="s">
        <v>81</v>
      </c>
      <c r="F126" s="12" t="s">
        <v>112</v>
      </c>
      <c r="G126" s="12" t="s">
        <v>46</v>
      </c>
    </row>
    <row r="127" spans="1:7" x14ac:dyDescent="0.2">
      <c r="A127" s="20" t="s">
        <v>168</v>
      </c>
      <c r="B127" s="65" t="s">
        <v>2947</v>
      </c>
      <c r="C127" s="23"/>
      <c r="D127" s="64"/>
      <c r="E127" s="64"/>
      <c r="F127" s="64"/>
      <c r="G127" s="64"/>
    </row>
    <row r="128" spans="1:7" x14ac:dyDescent="0.2">
      <c r="A128" s="20" t="s">
        <v>168</v>
      </c>
      <c r="B128" s="65" t="s">
        <v>2946</v>
      </c>
      <c r="C128" s="23"/>
      <c r="D128" s="64"/>
      <c r="E128" s="64"/>
      <c r="F128" s="64"/>
      <c r="G128" s="64"/>
    </row>
    <row r="129" spans="1:7" x14ac:dyDescent="0.2">
      <c r="A129" s="20" t="s">
        <v>169</v>
      </c>
      <c r="B129" s="132" t="s">
        <v>2948</v>
      </c>
      <c r="C129" s="23"/>
      <c r="D129" s="64"/>
      <c r="E129" s="64"/>
      <c r="F129" s="64"/>
      <c r="G129" s="64"/>
    </row>
    <row r="130" spans="1:7" x14ac:dyDescent="0.2">
      <c r="A130" s="20" t="s">
        <v>169</v>
      </c>
      <c r="B130" s="132" t="s">
        <v>2949</v>
      </c>
      <c r="C130" s="23"/>
      <c r="D130" s="64"/>
      <c r="E130" s="64"/>
      <c r="F130" s="64"/>
      <c r="G130" s="64"/>
    </row>
    <row r="131" spans="1:7" x14ac:dyDescent="0.2">
      <c r="A131" s="20" t="s">
        <v>169</v>
      </c>
      <c r="B131" s="65" t="s">
        <v>2950</v>
      </c>
      <c r="C131" s="23"/>
      <c r="D131" s="64"/>
      <c r="E131" s="64"/>
      <c r="F131" s="64"/>
      <c r="G131" s="64"/>
    </row>
    <row r="132" spans="1:7" x14ac:dyDescent="0.2">
      <c r="A132" s="20" t="s">
        <v>170</v>
      </c>
      <c r="B132" s="132" t="s">
        <v>2951</v>
      </c>
      <c r="C132" s="23"/>
      <c r="D132" s="64"/>
      <c r="E132" s="64"/>
      <c r="F132" s="64"/>
      <c r="G132" s="64"/>
    </row>
    <row r="133" spans="1:7" x14ac:dyDescent="0.2">
      <c r="A133" s="20" t="s">
        <v>170</v>
      </c>
      <c r="B133" s="132" t="s">
        <v>2952</v>
      </c>
      <c r="C133" s="23"/>
      <c r="D133" s="64"/>
      <c r="E133" s="64"/>
      <c r="F133" s="64"/>
      <c r="G133" s="64"/>
    </row>
    <row r="134" spans="1:7" x14ac:dyDescent="0.2">
      <c r="A134" s="20" t="s">
        <v>170</v>
      </c>
      <c r="B134" s="132" t="s">
        <v>2953</v>
      </c>
      <c r="C134" s="23"/>
      <c r="D134" s="64"/>
      <c r="E134" s="64"/>
      <c r="F134" s="64"/>
      <c r="G134" s="64"/>
    </row>
    <row r="135" spans="1:7" x14ac:dyDescent="0.2">
      <c r="A135" s="20" t="s">
        <v>171</v>
      </c>
      <c r="B135" s="65" t="s">
        <v>2955</v>
      </c>
      <c r="C135" s="23"/>
      <c r="D135" s="64"/>
      <c r="E135" s="64"/>
      <c r="F135" s="64"/>
      <c r="G135" s="64"/>
    </row>
    <row r="136" spans="1:7" x14ac:dyDescent="0.2">
      <c r="A136" s="20" t="s">
        <v>171</v>
      </c>
      <c r="B136" s="65" t="s">
        <v>2954</v>
      </c>
      <c r="C136" s="23"/>
      <c r="D136" s="64"/>
      <c r="E136" s="64"/>
      <c r="F136" s="64"/>
      <c r="G136" s="64"/>
    </row>
    <row r="137" spans="1:7" x14ac:dyDescent="0.2">
      <c r="A137" s="20" t="s">
        <v>172</v>
      </c>
      <c r="B137" s="65" t="s">
        <v>2956</v>
      </c>
      <c r="C137" s="23"/>
      <c r="D137" s="64"/>
      <c r="E137" s="64"/>
      <c r="F137" s="64"/>
      <c r="G137" s="64"/>
    </row>
    <row r="138" spans="1:7" x14ac:dyDescent="0.2">
      <c r="A138" s="20" t="s">
        <v>172</v>
      </c>
      <c r="B138" s="65" t="s">
        <v>2957</v>
      </c>
      <c r="C138" s="23"/>
      <c r="D138" s="64"/>
      <c r="E138" s="64"/>
      <c r="F138" s="64"/>
      <c r="G138" s="64"/>
    </row>
    <row r="139" spans="1:7" x14ac:dyDescent="0.2">
      <c r="A139" s="20" t="s">
        <v>172</v>
      </c>
      <c r="B139" s="65" t="s">
        <v>2958</v>
      </c>
      <c r="C139" s="23"/>
      <c r="D139" s="64"/>
      <c r="E139" s="64"/>
      <c r="F139" s="64"/>
      <c r="G139" s="64"/>
    </row>
    <row r="140" spans="1:7" x14ac:dyDescent="0.2">
      <c r="A140" s="20" t="s">
        <v>173</v>
      </c>
      <c r="B140" s="65" t="s">
        <v>2959</v>
      </c>
      <c r="C140" s="23"/>
      <c r="D140" s="64"/>
      <c r="E140" s="64"/>
      <c r="F140" s="64"/>
      <c r="G140" s="64"/>
    </row>
    <row r="141" spans="1:7" x14ac:dyDescent="0.2">
      <c r="A141" s="20" t="s">
        <v>173</v>
      </c>
      <c r="B141" s="65" t="s">
        <v>2961</v>
      </c>
      <c r="C141" s="23"/>
      <c r="D141" s="64"/>
      <c r="E141" s="64"/>
      <c r="F141" s="64"/>
      <c r="G141" s="64"/>
    </row>
    <row r="142" spans="1:7" x14ac:dyDescent="0.2">
      <c r="A142" s="20" t="s">
        <v>173</v>
      </c>
      <c r="B142" s="65" t="s">
        <v>2960</v>
      </c>
      <c r="C142" s="23"/>
      <c r="D142" s="64"/>
      <c r="E142" s="64"/>
      <c r="F142" s="64"/>
      <c r="G142" s="64"/>
    </row>
    <row r="143" spans="1:7" x14ac:dyDescent="0.2">
      <c r="A143" s="20" t="s">
        <v>174</v>
      </c>
      <c r="B143" s="65" t="s">
        <v>2962</v>
      </c>
      <c r="C143" s="23"/>
      <c r="D143" s="64"/>
      <c r="E143" s="64"/>
      <c r="F143" s="64"/>
      <c r="G143" s="64"/>
    </row>
    <row r="144" spans="1:7" x14ac:dyDescent="0.2">
      <c r="A144" s="20" t="s">
        <v>174</v>
      </c>
      <c r="B144" s="65" t="s">
        <v>2963</v>
      </c>
      <c r="C144" s="23"/>
      <c r="D144" s="64"/>
      <c r="E144" s="64"/>
      <c r="F144" s="64"/>
      <c r="G144" s="64"/>
    </row>
    <row r="145" spans="1:7" x14ac:dyDescent="0.2">
      <c r="A145" s="20" t="s">
        <v>175</v>
      </c>
      <c r="B145" s="65" t="s">
        <v>2965</v>
      </c>
      <c r="C145" s="23"/>
      <c r="D145" s="64"/>
      <c r="E145" s="64"/>
      <c r="F145" s="64"/>
      <c r="G145" s="64"/>
    </row>
    <row r="146" spans="1:7" x14ac:dyDescent="0.2">
      <c r="A146" s="20" t="s">
        <v>175</v>
      </c>
      <c r="B146" s="66" t="s">
        <v>2966</v>
      </c>
      <c r="C146" s="23"/>
      <c r="D146" s="64"/>
      <c r="E146" s="64"/>
      <c r="F146" s="64"/>
      <c r="G146" s="64"/>
    </row>
    <row r="147" spans="1:7" x14ac:dyDescent="0.2">
      <c r="A147" s="20" t="s">
        <v>175</v>
      </c>
      <c r="B147" s="65" t="s">
        <v>2964</v>
      </c>
      <c r="C147" s="23"/>
      <c r="D147" s="64"/>
      <c r="E147" s="64"/>
      <c r="F147" s="64"/>
      <c r="G147" s="64"/>
    </row>
    <row r="148" spans="1:7" x14ac:dyDescent="0.2">
      <c r="A148" s="20" t="s">
        <v>176</v>
      </c>
      <c r="B148" s="65" t="s">
        <v>2967</v>
      </c>
      <c r="C148" s="23"/>
      <c r="D148" s="64"/>
      <c r="E148" s="64"/>
      <c r="F148" s="64"/>
      <c r="G148" s="64"/>
    </row>
    <row r="149" spans="1:7" x14ac:dyDescent="0.2">
      <c r="A149" s="20" t="s">
        <v>176</v>
      </c>
      <c r="B149" s="65" t="s">
        <v>3032</v>
      </c>
      <c r="C149" s="23"/>
      <c r="D149" s="64"/>
      <c r="E149" s="64"/>
      <c r="F149" s="64"/>
      <c r="G149" s="64"/>
    </row>
    <row r="150" spans="1:7" x14ac:dyDescent="0.2">
      <c r="A150" s="20" t="s">
        <v>176</v>
      </c>
      <c r="B150" s="65" t="s">
        <v>2968</v>
      </c>
      <c r="C150" s="23"/>
      <c r="D150" s="64"/>
      <c r="E150" s="64"/>
      <c r="F150" s="64"/>
      <c r="G150" s="64"/>
    </row>
    <row r="151" spans="1:7" ht="24.75" customHeight="1" x14ac:dyDescent="0.2">
      <c r="A151" s="205" t="s">
        <v>177</v>
      </c>
      <c r="B151" s="206"/>
      <c r="C151" s="206"/>
      <c r="D151" s="206"/>
      <c r="E151" s="206"/>
      <c r="F151" s="206"/>
      <c r="G151" s="207"/>
    </row>
    <row r="152" spans="1:7" x14ac:dyDescent="0.2">
      <c r="A152" s="204" t="s">
        <v>109</v>
      </c>
      <c r="B152" s="183" t="s">
        <v>110</v>
      </c>
      <c r="C152" s="166" t="s">
        <v>619</v>
      </c>
      <c r="D152" s="166"/>
      <c r="E152" s="166"/>
      <c r="F152" s="166"/>
      <c r="G152" s="166"/>
    </row>
    <row r="153" spans="1:7" x14ac:dyDescent="0.2">
      <c r="A153" s="204"/>
      <c r="B153" s="183"/>
      <c r="C153" s="12" t="s">
        <v>79</v>
      </c>
      <c r="D153" s="12" t="s">
        <v>111</v>
      </c>
      <c r="E153" s="12" t="s">
        <v>81</v>
      </c>
      <c r="F153" s="12" t="s">
        <v>112</v>
      </c>
      <c r="G153" s="12" t="s">
        <v>46</v>
      </c>
    </row>
    <row r="154" spans="1:7" x14ac:dyDescent="0.2">
      <c r="A154" s="20" t="s">
        <v>178</v>
      </c>
      <c r="B154" s="65" t="s">
        <v>2969</v>
      </c>
      <c r="C154" s="23"/>
      <c r="D154" s="64"/>
      <c r="E154" s="64"/>
      <c r="F154" s="64"/>
      <c r="G154" s="64"/>
    </row>
    <row r="155" spans="1:7" x14ac:dyDescent="0.2">
      <c r="A155" s="20" t="s">
        <v>178</v>
      </c>
      <c r="B155" s="65" t="s">
        <v>2970</v>
      </c>
      <c r="C155" s="23"/>
      <c r="D155" s="64"/>
      <c r="E155" s="64"/>
      <c r="F155" s="64"/>
      <c r="G155" s="64"/>
    </row>
    <row r="156" spans="1:7" x14ac:dyDescent="0.2">
      <c r="A156" s="20" t="s">
        <v>179</v>
      </c>
      <c r="B156" s="65" t="s">
        <v>2971</v>
      </c>
      <c r="C156" s="23"/>
      <c r="D156" s="64"/>
      <c r="E156" s="64"/>
      <c r="F156" s="64"/>
      <c r="G156" s="64"/>
    </row>
    <row r="157" spans="1:7" x14ac:dyDescent="0.2">
      <c r="A157" s="20" t="s">
        <v>179</v>
      </c>
      <c r="B157" s="65" t="s">
        <v>2972</v>
      </c>
      <c r="C157" s="23"/>
      <c r="D157" s="64"/>
      <c r="E157" s="64"/>
      <c r="F157" s="64"/>
      <c r="G157" s="64"/>
    </row>
    <row r="158" spans="1:7" x14ac:dyDescent="0.2">
      <c r="A158" s="20" t="s">
        <v>179</v>
      </c>
      <c r="B158" s="65" t="s">
        <v>2973</v>
      </c>
      <c r="C158" s="23"/>
      <c r="D158" s="64"/>
      <c r="E158" s="64"/>
      <c r="F158" s="64"/>
      <c r="G158" s="64"/>
    </row>
    <row r="159" spans="1:7" x14ac:dyDescent="0.2">
      <c r="A159" s="20" t="s">
        <v>180</v>
      </c>
      <c r="B159" s="65" t="s">
        <v>2975</v>
      </c>
      <c r="C159" s="23"/>
      <c r="D159" s="64"/>
      <c r="E159" s="64"/>
      <c r="F159" s="64"/>
      <c r="G159" s="64"/>
    </row>
    <row r="160" spans="1:7" x14ac:dyDescent="0.2">
      <c r="A160" s="20" t="s">
        <v>180</v>
      </c>
      <c r="B160" s="65" t="s">
        <v>2974</v>
      </c>
      <c r="C160" s="23"/>
      <c r="D160" s="64"/>
      <c r="E160" s="64"/>
      <c r="F160" s="64"/>
      <c r="G160" s="64"/>
    </row>
    <row r="161" spans="1:7" x14ac:dyDescent="0.2">
      <c r="A161" s="20" t="s">
        <v>181</v>
      </c>
      <c r="B161" s="65" t="s">
        <v>2888</v>
      </c>
      <c r="C161" s="23"/>
      <c r="D161" s="64"/>
      <c r="E161" s="64"/>
      <c r="F161" s="64"/>
      <c r="G161" s="64"/>
    </row>
    <row r="162" spans="1:7" x14ac:dyDescent="0.2">
      <c r="A162" s="20" t="s">
        <v>182</v>
      </c>
      <c r="B162" s="65" t="s">
        <v>2976</v>
      </c>
      <c r="C162" s="23"/>
      <c r="D162" s="64"/>
      <c r="E162" s="64"/>
      <c r="F162" s="64"/>
      <c r="G162" s="64"/>
    </row>
    <row r="163" spans="1:7" x14ac:dyDescent="0.2">
      <c r="A163" s="20" t="s">
        <v>182</v>
      </c>
      <c r="B163" s="21" t="s">
        <v>2977</v>
      </c>
      <c r="C163" s="23"/>
      <c r="D163" s="64"/>
      <c r="E163" s="64"/>
      <c r="F163" s="64"/>
      <c r="G163" s="64"/>
    </row>
    <row r="164" spans="1:7" x14ac:dyDescent="0.2">
      <c r="A164" s="20" t="s">
        <v>182</v>
      </c>
      <c r="B164" s="65" t="s">
        <v>2978</v>
      </c>
      <c r="C164" s="23"/>
      <c r="D164" s="64"/>
      <c r="E164" s="64"/>
      <c r="F164" s="64"/>
      <c r="G164" s="64"/>
    </row>
    <row r="165" spans="1:7" x14ac:dyDescent="0.2">
      <c r="A165" s="20" t="s">
        <v>182</v>
      </c>
      <c r="B165" s="65" t="s">
        <v>49</v>
      </c>
      <c r="C165" s="23"/>
      <c r="D165" s="64"/>
      <c r="E165" s="64"/>
      <c r="F165" s="64"/>
      <c r="G165" s="64"/>
    </row>
    <row r="166" spans="1:7" x14ac:dyDescent="0.2">
      <c r="A166" s="20" t="s">
        <v>183</v>
      </c>
      <c r="B166" s="65" t="s">
        <v>2979</v>
      </c>
      <c r="C166" s="23"/>
      <c r="D166" s="64"/>
      <c r="E166" s="64"/>
      <c r="F166" s="64"/>
      <c r="G166" s="64"/>
    </row>
    <row r="167" spans="1:7" x14ac:dyDescent="0.2">
      <c r="A167" s="67" t="s">
        <v>183</v>
      </c>
      <c r="B167" s="68" t="s">
        <v>636</v>
      </c>
      <c r="C167" s="23"/>
      <c r="D167" s="64"/>
      <c r="E167" s="64"/>
      <c r="F167" s="64"/>
      <c r="G167" s="64"/>
    </row>
    <row r="168" spans="1:7" x14ac:dyDescent="0.2">
      <c r="A168" s="20" t="s">
        <v>183</v>
      </c>
      <c r="B168" s="65" t="s">
        <v>2980</v>
      </c>
      <c r="C168" s="23"/>
      <c r="D168" s="64"/>
      <c r="E168" s="64"/>
      <c r="F168" s="64"/>
      <c r="G168" s="64"/>
    </row>
    <row r="169" spans="1:7" x14ac:dyDescent="0.2">
      <c r="A169" s="20" t="s">
        <v>184</v>
      </c>
      <c r="B169" s="65" t="s">
        <v>2981</v>
      </c>
      <c r="C169" s="23"/>
      <c r="D169" s="64"/>
      <c r="E169" s="64"/>
      <c r="F169" s="64"/>
      <c r="G169" s="64"/>
    </row>
    <row r="170" spans="1:7" x14ac:dyDescent="0.2">
      <c r="A170" s="20" t="s">
        <v>184</v>
      </c>
      <c r="B170" s="65" t="s">
        <v>2982</v>
      </c>
      <c r="C170" s="23"/>
      <c r="D170" s="64"/>
      <c r="E170" s="64"/>
      <c r="F170" s="64"/>
      <c r="G170" s="64"/>
    </row>
    <row r="171" spans="1:7" ht="24.75" customHeight="1" x14ac:dyDescent="0.2">
      <c r="A171" s="205" t="s">
        <v>185</v>
      </c>
      <c r="B171" s="206"/>
      <c r="C171" s="206"/>
      <c r="D171" s="206"/>
      <c r="E171" s="206"/>
      <c r="F171" s="206"/>
      <c r="G171" s="207"/>
    </row>
    <row r="172" spans="1:7" x14ac:dyDescent="0.2">
      <c r="A172" s="204" t="s">
        <v>109</v>
      </c>
      <c r="B172" s="183" t="s">
        <v>110</v>
      </c>
      <c r="C172" s="166" t="s">
        <v>619</v>
      </c>
      <c r="D172" s="166"/>
      <c r="E172" s="166"/>
      <c r="F172" s="166"/>
      <c r="G172" s="166"/>
    </row>
    <row r="173" spans="1:7" x14ac:dyDescent="0.2">
      <c r="A173" s="204"/>
      <c r="B173" s="183"/>
      <c r="C173" s="12" t="s">
        <v>79</v>
      </c>
      <c r="D173" s="12" t="s">
        <v>111</v>
      </c>
      <c r="E173" s="12" t="s">
        <v>81</v>
      </c>
      <c r="F173" s="12" t="s">
        <v>112</v>
      </c>
      <c r="G173" s="12" t="s">
        <v>46</v>
      </c>
    </row>
    <row r="174" spans="1:7" x14ac:dyDescent="0.2">
      <c r="A174" s="20" t="s">
        <v>186</v>
      </c>
      <c r="B174" s="65" t="s">
        <v>2983</v>
      </c>
      <c r="C174" s="23"/>
      <c r="D174" s="64"/>
      <c r="E174" s="64"/>
      <c r="F174" s="64"/>
      <c r="G174" s="64"/>
    </row>
    <row r="175" spans="1:7" x14ac:dyDescent="0.2">
      <c r="A175" s="67" t="s">
        <v>186</v>
      </c>
      <c r="B175" s="66" t="s">
        <v>2984</v>
      </c>
      <c r="C175" s="23"/>
      <c r="D175" s="64"/>
      <c r="E175" s="64"/>
      <c r="F175" s="64"/>
      <c r="G175" s="64"/>
    </row>
    <row r="176" spans="1:7" x14ac:dyDescent="0.2">
      <c r="A176" s="20" t="s">
        <v>187</v>
      </c>
      <c r="B176" s="65" t="s">
        <v>2985</v>
      </c>
      <c r="C176" s="23"/>
      <c r="D176" s="64"/>
      <c r="E176" s="64"/>
      <c r="F176" s="64"/>
      <c r="G176" s="64"/>
    </row>
    <row r="177" spans="1:7" x14ac:dyDescent="0.2">
      <c r="A177" s="20" t="s">
        <v>187</v>
      </c>
      <c r="B177" s="65" t="s">
        <v>2986</v>
      </c>
      <c r="C177" s="23"/>
      <c r="D177" s="64"/>
      <c r="E177" s="64"/>
      <c r="F177" s="64"/>
      <c r="G177" s="64"/>
    </row>
    <row r="178" spans="1:7" x14ac:dyDescent="0.2">
      <c r="A178" s="20" t="s">
        <v>188</v>
      </c>
      <c r="B178" s="65" t="s">
        <v>2889</v>
      </c>
      <c r="C178" s="23"/>
      <c r="D178" s="64"/>
      <c r="E178" s="64"/>
      <c r="F178" s="64"/>
      <c r="G178" s="64"/>
    </row>
    <row r="179" spans="1:7" x14ac:dyDescent="0.2">
      <c r="A179" s="20" t="s">
        <v>189</v>
      </c>
      <c r="B179" s="132" t="s">
        <v>2987</v>
      </c>
      <c r="C179" s="23"/>
      <c r="D179" s="64"/>
      <c r="E179" s="64"/>
      <c r="F179" s="64"/>
      <c r="G179" s="64"/>
    </row>
    <row r="180" spans="1:7" x14ac:dyDescent="0.2">
      <c r="A180" s="67" t="s">
        <v>189</v>
      </c>
      <c r="B180" s="132" t="s">
        <v>2988</v>
      </c>
      <c r="C180" s="23"/>
      <c r="D180" s="64"/>
      <c r="E180" s="64"/>
      <c r="F180" s="64"/>
      <c r="G180" s="64"/>
    </row>
    <row r="181" spans="1:7" x14ac:dyDescent="0.2">
      <c r="A181" s="20" t="s">
        <v>190</v>
      </c>
      <c r="B181" s="132" t="s">
        <v>2989</v>
      </c>
      <c r="C181" s="23"/>
      <c r="D181" s="64"/>
      <c r="E181" s="64"/>
      <c r="F181" s="64"/>
      <c r="G181" s="64"/>
    </row>
    <row r="182" spans="1:7" x14ac:dyDescent="0.2">
      <c r="A182" s="20" t="s">
        <v>190</v>
      </c>
      <c r="B182" s="132" t="s">
        <v>2990</v>
      </c>
      <c r="C182" s="23"/>
      <c r="D182" s="64"/>
      <c r="E182" s="64"/>
      <c r="F182" s="64"/>
      <c r="G182" s="64"/>
    </row>
    <row r="183" spans="1:7" ht="14.25" customHeight="1" x14ac:dyDescent="0.2">
      <c r="A183" s="67" t="s">
        <v>190</v>
      </c>
      <c r="B183" s="132" t="s">
        <v>638</v>
      </c>
      <c r="C183" s="23"/>
      <c r="D183" s="64"/>
      <c r="E183" s="64"/>
      <c r="F183" s="64"/>
      <c r="G183" s="64"/>
    </row>
    <row r="184" spans="1:7" x14ac:dyDescent="0.2">
      <c r="A184" s="67" t="s">
        <v>191</v>
      </c>
      <c r="B184" s="132" t="s">
        <v>637</v>
      </c>
      <c r="C184" s="23"/>
      <c r="D184" s="64"/>
      <c r="E184" s="64"/>
      <c r="F184" s="64"/>
      <c r="G184" s="64"/>
    </row>
    <row r="185" spans="1:7" x14ac:dyDescent="0.2">
      <c r="A185" s="20" t="s">
        <v>192</v>
      </c>
      <c r="B185" s="132" t="s">
        <v>2991</v>
      </c>
      <c r="C185" s="23"/>
      <c r="D185" s="64"/>
      <c r="E185" s="64"/>
      <c r="F185" s="64"/>
      <c r="G185" s="64"/>
    </row>
    <row r="186" spans="1:7" x14ac:dyDescent="0.2">
      <c r="A186" s="20" t="s">
        <v>193</v>
      </c>
      <c r="B186" s="132" t="s">
        <v>2992</v>
      </c>
      <c r="C186" s="23"/>
      <c r="D186" s="64"/>
      <c r="E186" s="64"/>
      <c r="F186" s="64"/>
      <c r="G186" s="64"/>
    </row>
    <row r="187" spans="1:7" x14ac:dyDescent="0.2">
      <c r="A187" s="20" t="s">
        <v>193</v>
      </c>
      <c r="B187" s="132" t="s">
        <v>2993</v>
      </c>
      <c r="C187" s="23"/>
      <c r="D187" s="64"/>
      <c r="E187" s="64"/>
      <c r="F187" s="64"/>
      <c r="G187" s="64"/>
    </row>
    <row r="188" spans="1:7" ht="24.75" customHeight="1" x14ac:dyDescent="0.2">
      <c r="A188" s="205" t="s">
        <v>194</v>
      </c>
      <c r="B188" s="206"/>
      <c r="C188" s="206"/>
      <c r="D188" s="206"/>
      <c r="E188" s="206"/>
      <c r="F188" s="206"/>
      <c r="G188" s="207"/>
    </row>
    <row r="189" spans="1:7" x14ac:dyDescent="0.2">
      <c r="A189" s="204" t="s">
        <v>109</v>
      </c>
      <c r="B189" s="183" t="s">
        <v>110</v>
      </c>
      <c r="C189" s="166" t="s">
        <v>619</v>
      </c>
      <c r="D189" s="166"/>
      <c r="E189" s="166"/>
      <c r="F189" s="166"/>
      <c r="G189" s="166"/>
    </row>
    <row r="190" spans="1:7" x14ac:dyDescent="0.2">
      <c r="A190" s="204"/>
      <c r="B190" s="183"/>
      <c r="C190" s="12" t="s">
        <v>79</v>
      </c>
      <c r="D190" s="12" t="s">
        <v>111</v>
      </c>
      <c r="E190" s="12" t="s">
        <v>81</v>
      </c>
      <c r="F190" s="12" t="s">
        <v>112</v>
      </c>
      <c r="G190" s="12" t="s">
        <v>46</v>
      </c>
    </row>
    <row r="191" spans="1:7" x14ac:dyDescent="0.2">
      <c r="A191" s="20" t="s">
        <v>195</v>
      </c>
      <c r="B191" s="65" t="s">
        <v>2995</v>
      </c>
      <c r="C191" s="23"/>
      <c r="D191" s="64"/>
      <c r="E191" s="64"/>
      <c r="F191" s="64"/>
      <c r="G191" s="64"/>
    </row>
    <row r="192" spans="1:7" x14ac:dyDescent="0.2">
      <c r="A192" s="20" t="s">
        <v>195</v>
      </c>
      <c r="B192" s="65" t="s">
        <v>641</v>
      </c>
      <c r="C192" s="23"/>
      <c r="D192" s="64"/>
      <c r="E192" s="64"/>
      <c r="F192" s="64"/>
      <c r="G192" s="64"/>
    </row>
    <row r="193" spans="1:7" x14ac:dyDescent="0.2">
      <c r="A193" s="20" t="s">
        <v>196</v>
      </c>
      <c r="B193" s="65" t="s">
        <v>2996</v>
      </c>
      <c r="C193" s="23"/>
      <c r="D193" s="64"/>
      <c r="E193" s="64"/>
      <c r="F193" s="64"/>
      <c r="G193" s="64"/>
    </row>
    <row r="194" spans="1:7" x14ac:dyDescent="0.2">
      <c r="A194" s="20" t="s">
        <v>197</v>
      </c>
      <c r="B194" s="65" t="s">
        <v>2997</v>
      </c>
      <c r="C194" s="23"/>
      <c r="D194" s="64"/>
      <c r="E194" s="64"/>
      <c r="F194" s="64"/>
      <c r="G194" s="64"/>
    </row>
    <row r="195" spans="1:7" x14ac:dyDescent="0.2">
      <c r="A195" s="20" t="s">
        <v>197</v>
      </c>
      <c r="B195" s="65" t="s">
        <v>2998</v>
      </c>
      <c r="C195" s="23"/>
      <c r="D195" s="64"/>
      <c r="E195" s="64"/>
      <c r="F195" s="64"/>
      <c r="G195" s="64"/>
    </row>
    <row r="196" spans="1:7" x14ac:dyDescent="0.2">
      <c r="A196" s="20" t="s">
        <v>198</v>
      </c>
      <c r="B196" s="65" t="s">
        <v>2994</v>
      </c>
      <c r="C196" s="23"/>
      <c r="D196" s="64"/>
      <c r="E196" s="64"/>
      <c r="F196" s="64"/>
      <c r="G196" s="64"/>
    </row>
    <row r="197" spans="1:7" x14ac:dyDescent="0.2">
      <c r="A197" s="20" t="s">
        <v>198</v>
      </c>
      <c r="B197" s="65" t="s">
        <v>2999</v>
      </c>
      <c r="C197" s="23"/>
      <c r="D197" s="64"/>
      <c r="E197" s="64"/>
      <c r="F197" s="64"/>
      <c r="G197" s="64"/>
    </row>
    <row r="198" spans="1:7" x14ac:dyDescent="0.2">
      <c r="A198" s="20" t="s">
        <v>199</v>
      </c>
      <c r="B198" s="65" t="s">
        <v>642</v>
      </c>
      <c r="C198" s="23"/>
      <c r="D198" s="64"/>
      <c r="E198" s="64"/>
      <c r="F198" s="64"/>
      <c r="G198" s="64"/>
    </row>
    <row r="199" spans="1:7" x14ac:dyDescent="0.2">
      <c r="A199" s="20" t="s">
        <v>199</v>
      </c>
      <c r="B199" s="65" t="s">
        <v>3000</v>
      </c>
      <c r="C199" s="23"/>
      <c r="D199" s="64"/>
      <c r="E199" s="64"/>
      <c r="F199" s="64"/>
      <c r="G199" s="64"/>
    </row>
    <row r="200" spans="1:7" x14ac:dyDescent="0.2">
      <c r="A200" s="20" t="s">
        <v>0</v>
      </c>
      <c r="B200" s="65" t="s">
        <v>3001</v>
      </c>
      <c r="C200" s="23"/>
      <c r="D200" s="64"/>
      <c r="E200" s="64"/>
      <c r="F200" s="64"/>
      <c r="G200" s="64"/>
    </row>
    <row r="201" spans="1:7" x14ac:dyDescent="0.2">
      <c r="A201" s="20" t="s">
        <v>1</v>
      </c>
      <c r="B201" s="65" t="s">
        <v>643</v>
      </c>
      <c r="C201" s="23"/>
      <c r="D201" s="64"/>
      <c r="E201" s="64"/>
      <c r="F201" s="64"/>
      <c r="G201" s="64"/>
    </row>
    <row r="202" spans="1:7" x14ac:dyDescent="0.2">
      <c r="A202" s="20" t="s">
        <v>1</v>
      </c>
      <c r="B202" s="65" t="s">
        <v>644</v>
      </c>
      <c r="C202" s="23"/>
      <c r="D202" s="64"/>
      <c r="E202" s="64"/>
      <c r="F202" s="64"/>
      <c r="G202" s="64"/>
    </row>
    <row r="203" spans="1:7" x14ac:dyDescent="0.2">
      <c r="A203" s="20" t="s">
        <v>2</v>
      </c>
      <c r="B203" s="65" t="s">
        <v>3031</v>
      </c>
      <c r="C203" s="23"/>
      <c r="D203" s="64"/>
      <c r="E203" s="64"/>
      <c r="F203" s="64"/>
      <c r="G203" s="64"/>
    </row>
    <row r="204" spans="1:7" x14ac:dyDescent="0.2">
      <c r="A204" s="20" t="s">
        <v>2</v>
      </c>
      <c r="B204" s="65" t="s">
        <v>645</v>
      </c>
      <c r="C204" s="23"/>
      <c r="D204" s="64"/>
      <c r="E204" s="64"/>
      <c r="F204" s="64"/>
      <c r="G204" s="64"/>
    </row>
    <row r="205" spans="1:7" x14ac:dyDescent="0.2">
      <c r="A205" s="20" t="s">
        <v>3</v>
      </c>
      <c r="B205" s="65" t="s">
        <v>3002</v>
      </c>
      <c r="C205" s="23"/>
      <c r="D205" s="64"/>
      <c r="E205" s="64"/>
      <c r="F205" s="64"/>
      <c r="G205" s="64"/>
    </row>
    <row r="206" spans="1:7" x14ac:dyDescent="0.2">
      <c r="A206" s="20" t="s">
        <v>3</v>
      </c>
      <c r="B206" s="65" t="s">
        <v>640</v>
      </c>
      <c r="C206" s="23"/>
      <c r="D206" s="64"/>
      <c r="E206" s="64"/>
      <c r="F206" s="64"/>
      <c r="G206" s="64"/>
    </row>
    <row r="207" spans="1:7" x14ac:dyDescent="0.2">
      <c r="A207" s="20" t="s">
        <v>3</v>
      </c>
      <c r="B207" s="65" t="s">
        <v>639</v>
      </c>
      <c r="C207" s="23"/>
      <c r="D207" s="64"/>
      <c r="E207" s="64"/>
      <c r="F207" s="64"/>
      <c r="G207" s="64"/>
    </row>
    <row r="208" spans="1:7" x14ac:dyDescent="0.2">
      <c r="A208" s="20" t="s">
        <v>3</v>
      </c>
      <c r="B208" s="66" t="s">
        <v>646</v>
      </c>
      <c r="C208" s="23"/>
      <c r="D208" s="64"/>
      <c r="E208" s="64"/>
      <c r="F208" s="64"/>
      <c r="G208" s="64"/>
    </row>
    <row r="209" spans="1:7" ht="24.75" customHeight="1" x14ac:dyDescent="0.2">
      <c r="A209" s="205" t="s">
        <v>4</v>
      </c>
      <c r="B209" s="206"/>
      <c r="C209" s="206"/>
      <c r="D209" s="206"/>
      <c r="E209" s="206"/>
      <c r="F209" s="206"/>
      <c r="G209" s="207"/>
    </row>
    <row r="210" spans="1:7" x14ac:dyDescent="0.2">
      <c r="A210" s="204" t="s">
        <v>109</v>
      </c>
      <c r="B210" s="183" t="s">
        <v>110</v>
      </c>
      <c r="C210" s="166" t="s">
        <v>619</v>
      </c>
      <c r="D210" s="166"/>
      <c r="E210" s="166"/>
      <c r="F210" s="166"/>
      <c r="G210" s="166"/>
    </row>
    <row r="211" spans="1:7" x14ac:dyDescent="0.2">
      <c r="A211" s="204"/>
      <c r="B211" s="183"/>
      <c r="C211" s="12" t="s">
        <v>79</v>
      </c>
      <c r="D211" s="12" t="s">
        <v>111</v>
      </c>
      <c r="E211" s="12" t="s">
        <v>81</v>
      </c>
      <c r="F211" s="12" t="s">
        <v>112</v>
      </c>
      <c r="G211" s="12" t="s">
        <v>46</v>
      </c>
    </row>
    <row r="212" spans="1:7" x14ac:dyDescent="0.2">
      <c r="A212" s="20" t="s">
        <v>5</v>
      </c>
      <c r="B212" s="65" t="s">
        <v>3003</v>
      </c>
      <c r="C212" s="23"/>
      <c r="D212" s="64"/>
      <c r="E212" s="64"/>
      <c r="F212" s="64"/>
      <c r="G212" s="64"/>
    </row>
    <row r="213" spans="1:7" x14ac:dyDescent="0.2">
      <c r="A213" s="20" t="s">
        <v>5</v>
      </c>
      <c r="B213" s="65" t="s">
        <v>3004</v>
      </c>
      <c r="C213" s="23"/>
      <c r="D213" s="64"/>
      <c r="E213" s="64"/>
      <c r="F213" s="64"/>
      <c r="G213" s="64"/>
    </row>
    <row r="214" spans="1:7" x14ac:dyDescent="0.2">
      <c r="A214" s="20" t="s">
        <v>5</v>
      </c>
      <c r="B214" s="65" t="s">
        <v>3005</v>
      </c>
      <c r="C214" s="23"/>
      <c r="D214" s="64"/>
      <c r="E214" s="64"/>
      <c r="F214" s="64"/>
      <c r="G214" s="64"/>
    </row>
    <row r="215" spans="1:7" x14ac:dyDescent="0.2">
      <c r="A215" s="20" t="s">
        <v>5</v>
      </c>
      <c r="B215" s="65" t="s">
        <v>3006</v>
      </c>
      <c r="C215" s="23"/>
      <c r="D215" s="64"/>
      <c r="E215" s="64"/>
      <c r="F215" s="64"/>
      <c r="G215" s="64"/>
    </row>
    <row r="216" spans="1:7" x14ac:dyDescent="0.2">
      <c r="A216" s="20" t="s">
        <v>6</v>
      </c>
      <c r="B216" s="65" t="s">
        <v>3007</v>
      </c>
      <c r="C216" s="23"/>
      <c r="D216" s="64"/>
      <c r="E216" s="64"/>
      <c r="F216" s="64"/>
      <c r="G216" s="64"/>
    </row>
    <row r="217" spans="1:7" x14ac:dyDescent="0.2">
      <c r="A217" s="20" t="s">
        <v>7</v>
      </c>
      <c r="B217" s="65" t="s">
        <v>3010</v>
      </c>
      <c r="C217" s="23"/>
      <c r="D217" s="64"/>
      <c r="E217" s="64"/>
      <c r="F217" s="64"/>
      <c r="G217" s="64"/>
    </row>
    <row r="218" spans="1:7" x14ac:dyDescent="0.2">
      <c r="A218" s="20" t="s">
        <v>7</v>
      </c>
      <c r="B218" s="21" t="s">
        <v>3008</v>
      </c>
      <c r="C218" s="23"/>
      <c r="D218" s="64"/>
      <c r="E218" s="64"/>
      <c r="F218" s="64"/>
      <c r="G218" s="64"/>
    </row>
    <row r="219" spans="1:7" x14ac:dyDescent="0.2">
      <c r="A219" s="20" t="s">
        <v>7</v>
      </c>
      <c r="B219" s="65" t="s">
        <v>3009</v>
      </c>
      <c r="C219" s="23"/>
      <c r="D219" s="64"/>
      <c r="E219" s="64"/>
      <c r="F219" s="64"/>
      <c r="G219" s="64"/>
    </row>
    <row r="220" spans="1:7" x14ac:dyDescent="0.2">
      <c r="A220" s="20" t="s">
        <v>8</v>
      </c>
      <c r="B220" s="65" t="s">
        <v>3011</v>
      </c>
      <c r="C220" s="23"/>
      <c r="D220" s="64"/>
      <c r="E220" s="64"/>
      <c r="F220" s="64"/>
      <c r="G220" s="64"/>
    </row>
    <row r="221" spans="1:7" x14ac:dyDescent="0.2">
      <c r="A221" s="20" t="s">
        <v>8</v>
      </c>
      <c r="B221" s="65" t="s">
        <v>3034</v>
      </c>
      <c r="C221" s="23"/>
      <c r="D221" s="64"/>
      <c r="E221" s="64"/>
      <c r="F221" s="64"/>
      <c r="G221" s="64"/>
    </row>
    <row r="222" spans="1:7" x14ac:dyDescent="0.2">
      <c r="A222" s="20" t="s">
        <v>8</v>
      </c>
      <c r="B222" s="65" t="s">
        <v>3012</v>
      </c>
      <c r="C222" s="23"/>
      <c r="D222" s="64"/>
      <c r="E222" s="64"/>
      <c r="F222" s="64"/>
      <c r="G222" s="64"/>
    </row>
    <row r="223" spans="1:7" x14ac:dyDescent="0.2">
      <c r="A223" s="20" t="s">
        <v>9</v>
      </c>
      <c r="B223" s="65" t="s">
        <v>651</v>
      </c>
      <c r="C223" s="23"/>
      <c r="D223" s="64"/>
      <c r="E223" s="64"/>
      <c r="F223" s="64"/>
      <c r="G223" s="64"/>
    </row>
    <row r="224" spans="1:7" x14ac:dyDescent="0.2">
      <c r="A224" s="20" t="s">
        <v>9</v>
      </c>
      <c r="B224" s="65" t="s">
        <v>3013</v>
      </c>
      <c r="C224" s="23"/>
      <c r="D224" s="64"/>
      <c r="E224" s="64"/>
      <c r="F224" s="64"/>
      <c r="G224" s="64"/>
    </row>
    <row r="225" spans="1:7" x14ac:dyDescent="0.2">
      <c r="A225" s="20" t="s">
        <v>10</v>
      </c>
      <c r="B225" s="65" t="s">
        <v>647</v>
      </c>
      <c r="C225" s="23"/>
      <c r="D225" s="64"/>
      <c r="E225" s="64"/>
      <c r="F225" s="64"/>
      <c r="G225" s="64"/>
    </row>
    <row r="226" spans="1:7" x14ac:dyDescent="0.2">
      <c r="A226" s="20" t="s">
        <v>10</v>
      </c>
      <c r="B226" s="65" t="s">
        <v>648</v>
      </c>
      <c r="C226" s="23"/>
      <c r="D226" s="64"/>
      <c r="E226" s="64"/>
      <c r="F226" s="64"/>
      <c r="G226" s="64"/>
    </row>
    <row r="227" spans="1:7" x14ac:dyDescent="0.2">
      <c r="A227" s="20" t="s">
        <v>10</v>
      </c>
      <c r="B227" s="65" t="s">
        <v>649</v>
      </c>
      <c r="C227" s="23"/>
      <c r="D227" s="64"/>
      <c r="E227" s="64"/>
      <c r="F227" s="64"/>
      <c r="G227" s="64"/>
    </row>
    <row r="228" spans="1:7" x14ac:dyDescent="0.2">
      <c r="A228" s="20" t="s">
        <v>10</v>
      </c>
      <c r="B228" s="65" t="s">
        <v>650</v>
      </c>
      <c r="C228" s="23"/>
      <c r="D228" s="64"/>
      <c r="E228" s="64"/>
      <c r="F228" s="64"/>
      <c r="G228" s="64"/>
    </row>
    <row r="229" spans="1:7" x14ac:dyDescent="0.2">
      <c r="A229" s="20" t="s">
        <v>11</v>
      </c>
      <c r="B229" s="65" t="s">
        <v>3015</v>
      </c>
      <c r="C229" s="23"/>
      <c r="D229" s="64"/>
      <c r="E229" s="64"/>
      <c r="F229" s="64"/>
      <c r="G229" s="64"/>
    </row>
    <row r="230" spans="1:7" x14ac:dyDescent="0.2">
      <c r="A230" s="20" t="s">
        <v>11</v>
      </c>
      <c r="B230" s="65" t="s">
        <v>652</v>
      </c>
      <c r="C230" s="23"/>
      <c r="D230" s="64"/>
      <c r="E230" s="64"/>
      <c r="F230" s="64"/>
      <c r="G230" s="64"/>
    </row>
    <row r="231" spans="1:7" x14ac:dyDescent="0.2">
      <c r="A231" s="20" t="s">
        <v>11</v>
      </c>
      <c r="B231" s="65" t="s">
        <v>3014</v>
      </c>
      <c r="C231" s="23"/>
      <c r="D231" s="64"/>
      <c r="E231" s="64"/>
      <c r="F231" s="64"/>
      <c r="G231" s="64"/>
    </row>
    <row r="232" spans="1:7" x14ac:dyDescent="0.2">
      <c r="A232" s="20" t="s">
        <v>11</v>
      </c>
      <c r="B232" s="65" t="s">
        <v>3033</v>
      </c>
      <c r="C232" s="23"/>
      <c r="D232" s="64"/>
      <c r="E232" s="64"/>
      <c r="F232" s="64"/>
      <c r="G232" s="64"/>
    </row>
    <row r="233" spans="1:7" ht="24.75" customHeight="1" x14ac:dyDescent="0.2">
      <c r="A233" s="205" t="s">
        <v>12</v>
      </c>
      <c r="B233" s="206"/>
      <c r="C233" s="206"/>
      <c r="D233" s="206"/>
      <c r="E233" s="206"/>
      <c r="F233" s="206"/>
      <c r="G233" s="207"/>
    </row>
    <row r="234" spans="1:7" x14ac:dyDescent="0.2">
      <c r="A234" s="204" t="s">
        <v>109</v>
      </c>
      <c r="B234" s="183" t="s">
        <v>110</v>
      </c>
      <c r="C234" s="166" t="s">
        <v>619</v>
      </c>
      <c r="D234" s="166"/>
      <c r="E234" s="166"/>
      <c r="F234" s="166"/>
      <c r="G234" s="166"/>
    </row>
    <row r="235" spans="1:7" x14ac:dyDescent="0.2">
      <c r="A235" s="204"/>
      <c r="B235" s="183"/>
      <c r="C235" s="12" t="s">
        <v>79</v>
      </c>
      <c r="D235" s="12" t="s">
        <v>111</v>
      </c>
      <c r="E235" s="12" t="s">
        <v>81</v>
      </c>
      <c r="F235" s="12" t="s">
        <v>112</v>
      </c>
      <c r="G235" s="12" t="s">
        <v>46</v>
      </c>
    </row>
    <row r="236" spans="1:7" x14ac:dyDescent="0.2">
      <c r="A236" s="20" t="s">
        <v>13</v>
      </c>
      <c r="B236" s="65" t="s">
        <v>3016</v>
      </c>
      <c r="C236" s="23">
        <v>4.5</v>
      </c>
      <c r="D236" s="64"/>
      <c r="E236" s="23"/>
      <c r="F236" s="64"/>
      <c r="G236" s="64">
        <v>8.5</v>
      </c>
    </row>
    <row r="237" spans="1:7" x14ac:dyDescent="0.2">
      <c r="A237" s="67" t="s">
        <v>13</v>
      </c>
      <c r="B237" s="66" t="s">
        <v>3017</v>
      </c>
      <c r="C237" s="23">
        <v>5</v>
      </c>
      <c r="D237" s="64"/>
      <c r="E237" s="23"/>
      <c r="F237" s="64"/>
      <c r="G237" s="64">
        <v>9</v>
      </c>
    </row>
    <row r="238" spans="1:7" x14ac:dyDescent="0.2">
      <c r="A238" s="67" t="s">
        <v>13</v>
      </c>
      <c r="B238" s="66" t="s">
        <v>653</v>
      </c>
      <c r="C238" s="23">
        <v>6.5</v>
      </c>
      <c r="D238" s="64"/>
      <c r="E238" s="23"/>
      <c r="F238" s="64"/>
      <c r="G238" s="64">
        <v>10.5</v>
      </c>
    </row>
    <row r="239" spans="1:7" x14ac:dyDescent="0.2">
      <c r="A239" s="67" t="s">
        <v>13</v>
      </c>
      <c r="B239" s="66" t="s">
        <v>654</v>
      </c>
      <c r="C239" s="23">
        <v>5.25</v>
      </c>
      <c r="D239" s="64"/>
      <c r="E239" s="23"/>
      <c r="F239" s="64"/>
      <c r="G239" s="64">
        <v>9.25</v>
      </c>
    </row>
    <row r="240" spans="1:7" x14ac:dyDescent="0.2">
      <c r="A240" s="67" t="s">
        <v>13</v>
      </c>
      <c r="B240" s="66" t="s">
        <v>3018</v>
      </c>
      <c r="C240" s="23">
        <v>6.5</v>
      </c>
      <c r="D240" s="64"/>
      <c r="E240" s="23"/>
      <c r="F240" s="64"/>
      <c r="G240" s="64">
        <v>10.5</v>
      </c>
    </row>
    <row r="241" spans="1:7" x14ac:dyDescent="0.2">
      <c r="A241" s="139" t="s">
        <v>13</v>
      </c>
      <c r="B241" s="132" t="s">
        <v>2890</v>
      </c>
      <c r="C241" s="23">
        <v>4.5</v>
      </c>
      <c r="D241" s="64"/>
      <c r="E241" s="23"/>
      <c r="F241" s="64"/>
      <c r="G241" s="64">
        <v>8.5</v>
      </c>
    </row>
    <row r="242" spans="1:7" x14ac:dyDescent="0.2">
      <c r="A242" s="67" t="s">
        <v>13</v>
      </c>
      <c r="B242" s="66" t="s">
        <v>3019</v>
      </c>
      <c r="C242" s="23">
        <v>6.25</v>
      </c>
      <c r="D242" s="64"/>
      <c r="E242" s="23"/>
      <c r="F242" s="64"/>
      <c r="G242" s="64">
        <v>10.25</v>
      </c>
    </row>
    <row r="243" spans="1:7" x14ac:dyDescent="0.2">
      <c r="A243" s="67" t="s">
        <v>14</v>
      </c>
      <c r="B243" s="66" t="s">
        <v>3020</v>
      </c>
      <c r="C243" s="23">
        <v>12.25</v>
      </c>
      <c r="D243" s="64"/>
      <c r="E243" s="23"/>
      <c r="F243" s="64"/>
      <c r="G243" s="64">
        <v>16.25</v>
      </c>
    </row>
    <row r="244" spans="1:7" x14ac:dyDescent="0.2">
      <c r="A244" s="67" t="s">
        <v>14</v>
      </c>
      <c r="B244" s="66" t="s">
        <v>3021</v>
      </c>
      <c r="C244" s="23">
        <v>12.75</v>
      </c>
      <c r="D244" s="64"/>
      <c r="E244" s="23"/>
      <c r="F244" s="64"/>
      <c r="G244" s="64">
        <v>16.75</v>
      </c>
    </row>
    <row r="245" spans="1:7" x14ac:dyDescent="0.2">
      <c r="A245" s="67" t="s">
        <v>14</v>
      </c>
      <c r="B245" s="68" t="s">
        <v>3022</v>
      </c>
      <c r="C245" s="23">
        <v>12.25</v>
      </c>
      <c r="D245" s="64"/>
      <c r="E245" s="23"/>
      <c r="F245" s="64"/>
      <c r="G245" s="64">
        <v>16.25</v>
      </c>
    </row>
    <row r="246" spans="1:7" x14ac:dyDescent="0.2">
      <c r="A246" s="67" t="s">
        <v>14</v>
      </c>
      <c r="B246" s="66" t="s">
        <v>3023</v>
      </c>
      <c r="C246" s="23">
        <v>12.75</v>
      </c>
      <c r="D246" s="64"/>
      <c r="E246" s="23"/>
      <c r="F246" s="64"/>
      <c r="G246" s="64">
        <v>16.75</v>
      </c>
    </row>
    <row r="247" spans="1:7" x14ac:dyDescent="0.2">
      <c r="A247" s="67" t="s">
        <v>15</v>
      </c>
      <c r="B247" s="66" t="s">
        <v>3024</v>
      </c>
      <c r="C247" s="23">
        <v>12.25</v>
      </c>
      <c r="D247" s="64"/>
      <c r="E247" s="23"/>
      <c r="F247" s="64"/>
      <c r="G247" s="64">
        <v>16.25</v>
      </c>
    </row>
    <row r="248" spans="1:7" x14ac:dyDescent="0.2">
      <c r="A248" s="67" t="s">
        <v>15</v>
      </c>
      <c r="B248" s="66" t="s">
        <v>3025</v>
      </c>
      <c r="C248" s="23">
        <v>12.25</v>
      </c>
      <c r="D248" s="64"/>
      <c r="E248" s="23"/>
      <c r="F248" s="64"/>
      <c r="G248" s="64">
        <v>16.25</v>
      </c>
    </row>
    <row r="249" spans="1:7" x14ac:dyDescent="0.2">
      <c r="A249" s="67" t="s">
        <v>15</v>
      </c>
      <c r="B249" s="66" t="s">
        <v>2891</v>
      </c>
      <c r="C249" s="23">
        <v>10.25</v>
      </c>
      <c r="D249" s="64"/>
      <c r="E249" s="23"/>
      <c r="F249" s="64"/>
      <c r="G249" s="64">
        <v>14.25</v>
      </c>
    </row>
    <row r="250" spans="1:7" x14ac:dyDescent="0.2">
      <c r="A250" s="20" t="s">
        <v>15</v>
      </c>
      <c r="B250" s="65" t="s">
        <v>3026</v>
      </c>
      <c r="C250" s="23">
        <v>12.25</v>
      </c>
      <c r="D250" s="64"/>
      <c r="E250" s="23"/>
      <c r="F250" s="64"/>
      <c r="G250" s="64">
        <v>16.25</v>
      </c>
    </row>
  </sheetData>
  <sheetProtection algorithmName="SHA-512" hashValue="ccBeV/SBEzNbqhyO/DVsXZLz7NTQv04sNQ31yalKd0tSYajWYHl0uGD37BQG36Lyoj7MnwBnQb9As8RQx02PYA==" saltValue="zJgYDn58syksbslsTg+kFQ==" spinCount="100000" sheet="1" selectLockedCells="1"/>
  <sortState xmlns:xlrd2="http://schemas.microsoft.com/office/spreadsheetml/2017/richdata2" ref="A193:B197">
    <sortCondition ref="A193"/>
  </sortState>
  <mergeCells count="53">
    <mergeCell ref="A1:G1"/>
    <mergeCell ref="A2:G2"/>
    <mergeCell ref="B4:G4"/>
    <mergeCell ref="B5:G5"/>
    <mergeCell ref="A3:G3"/>
    <mergeCell ref="A31:G31"/>
    <mergeCell ref="A6:G6"/>
    <mergeCell ref="C7:G7"/>
    <mergeCell ref="A50:G50"/>
    <mergeCell ref="C51:G51"/>
    <mergeCell ref="A51:A52"/>
    <mergeCell ref="B51:B52"/>
    <mergeCell ref="A7:A8"/>
    <mergeCell ref="B7:B8"/>
    <mergeCell ref="C18:G18"/>
    <mergeCell ref="A17:G17"/>
    <mergeCell ref="A18:A19"/>
    <mergeCell ref="B18:B19"/>
    <mergeCell ref="A125:A126"/>
    <mergeCell ref="B125:B126"/>
    <mergeCell ref="A124:G124"/>
    <mergeCell ref="C125:G125"/>
    <mergeCell ref="B32:B33"/>
    <mergeCell ref="C32:G32"/>
    <mergeCell ref="A32:A33"/>
    <mergeCell ref="A81:A82"/>
    <mergeCell ref="B81:B82"/>
    <mergeCell ref="A80:G80"/>
    <mergeCell ref="C81:G81"/>
    <mergeCell ref="A105:A106"/>
    <mergeCell ref="B105:B106"/>
    <mergeCell ref="A104:G104"/>
    <mergeCell ref="C105:G105"/>
    <mergeCell ref="A151:G151"/>
    <mergeCell ref="C152:G152"/>
    <mergeCell ref="A189:A190"/>
    <mergeCell ref="B189:B190"/>
    <mergeCell ref="A188:G188"/>
    <mergeCell ref="C189:G189"/>
    <mergeCell ref="A172:A173"/>
    <mergeCell ref="B172:B173"/>
    <mergeCell ref="A171:G171"/>
    <mergeCell ref="C172:G172"/>
    <mergeCell ref="A234:A235"/>
    <mergeCell ref="B234:B235"/>
    <mergeCell ref="A233:G233"/>
    <mergeCell ref="C234:G234"/>
    <mergeCell ref="A152:A153"/>
    <mergeCell ref="B152:B153"/>
    <mergeCell ref="A210:A211"/>
    <mergeCell ref="B210:B211"/>
    <mergeCell ref="A209:G209"/>
    <mergeCell ref="C210:G210"/>
  </mergeCells>
  <phoneticPr fontId="1" type="noConversion"/>
  <dataValidations count="1">
    <dataValidation type="decimal" operator="greaterThan" allowBlank="1" showInputMessage="1" showErrorMessage="1" sqref="C83:G103 C191:G208 C53:G79 C9:G16 C127:G150 C212:G232 C34:G49 C154:G170 C174:G187 C20:G30 C107:G123 C236:G250" xr:uid="{00000000-0002-0000-0200-000000000000}">
      <formula1>0</formula1>
    </dataValidation>
  </dataValidations>
  <pageMargins left="0.25" right="0.25" top="0.5" bottom="0.5" header="0.5" footer="0.25"/>
  <pageSetup scale="83" orientation="portrait" r:id="rId1"/>
  <headerFooter alignWithMargins="0"/>
  <rowBreaks count="5" manualBreakCount="5">
    <brk id="49" max="16383" man="1"/>
    <brk id="79" max="16383" man="1"/>
    <brk id="123" max="16383" man="1"/>
    <brk id="170" max="16383" man="1"/>
    <brk id="2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F61"/>
  <sheetViews>
    <sheetView showGridLines="0" topLeftCell="A11" zoomScaleNormal="100" workbookViewId="0">
      <selection activeCell="B28" sqref="B28"/>
    </sheetView>
  </sheetViews>
  <sheetFormatPr defaultRowHeight="12.75" x14ac:dyDescent="0.2"/>
  <cols>
    <col min="1" max="1" width="90.5703125" customWidth="1"/>
    <col min="2" max="2" width="24.85546875" customWidth="1"/>
    <col min="3" max="3" width="40.28515625" bestFit="1" customWidth="1"/>
  </cols>
  <sheetData>
    <row r="1" spans="1:6" x14ac:dyDescent="0.2">
      <c r="A1" s="233" t="str">
        <f>Header!A1</f>
        <v>800-22 Aggregate  1/28/21</v>
      </c>
      <c r="B1" s="234"/>
    </row>
    <row r="2" spans="1:6" ht="15.75" x14ac:dyDescent="0.25">
      <c r="A2" s="235" t="s">
        <v>620</v>
      </c>
      <c r="B2" s="236"/>
      <c r="C2" s="17"/>
      <c r="D2" s="17"/>
      <c r="E2" s="17"/>
      <c r="F2" s="17"/>
    </row>
    <row r="3" spans="1:6" x14ac:dyDescent="0.2">
      <c r="A3" s="213"/>
      <c r="B3" s="215"/>
      <c r="C3" s="17"/>
      <c r="D3" s="17"/>
      <c r="E3" s="17"/>
      <c r="F3" s="17"/>
    </row>
    <row r="4" spans="1:6" x14ac:dyDescent="0.2">
      <c r="A4" s="148" t="str">
        <f>IF(Plant_Information!B6="(INSERT VENDOR NAME HERE)","Complete on PLANT INFORMATION TAB",Plant_Information!B6)</f>
        <v>Complete on PLANT INFORMATION TAB</v>
      </c>
      <c r="B4" s="34" t="s">
        <v>24</v>
      </c>
      <c r="C4" s="17"/>
      <c r="D4" s="17"/>
      <c r="E4" s="17"/>
      <c r="F4" s="17"/>
    </row>
    <row r="5" spans="1:6" x14ac:dyDescent="0.2">
      <c r="A5" s="147" t="str">
        <f>IF(Plant_Information!B8="You Must Select a Plant from the List           (Use dropdown button at right) &gt;&gt;&gt;&gt;","Complete on PLANT INFORMATION TAB",Plant_Information!B8)</f>
        <v>LAFARGE-MARBLEHEAD "OSBORNE-CLEVELAND"</v>
      </c>
      <c r="B5" s="33" t="s">
        <v>25</v>
      </c>
      <c r="C5" s="17"/>
      <c r="D5" s="17"/>
      <c r="E5" s="17"/>
      <c r="F5" s="17"/>
    </row>
    <row r="6" spans="1:6" x14ac:dyDescent="0.2">
      <c r="A6" s="22" t="str">
        <f>Plant_Information!B11</f>
        <v>2100 CENTRAL FURNACE ROAD</v>
      </c>
      <c r="B6" s="33" t="s">
        <v>2865</v>
      </c>
      <c r="C6" s="17"/>
      <c r="D6" s="17"/>
      <c r="E6" s="17"/>
      <c r="F6" s="17"/>
    </row>
    <row r="7" spans="1:6" x14ac:dyDescent="0.2">
      <c r="A7" s="22" t="str">
        <f>Plant_Information!B12</f>
        <v>CLEVELAND, OH, 44115</v>
      </c>
      <c r="B7" s="33" t="s">
        <v>2866</v>
      </c>
      <c r="C7" s="17"/>
      <c r="D7" s="17"/>
      <c r="E7" s="17"/>
      <c r="F7" s="17"/>
    </row>
    <row r="8" spans="1:6" x14ac:dyDescent="0.2">
      <c r="A8" s="22" t="str">
        <f>Plant_Information!B10</f>
        <v>04105-28</v>
      </c>
      <c r="B8" s="33" t="s">
        <v>2867</v>
      </c>
      <c r="C8" s="17"/>
      <c r="D8" s="17"/>
      <c r="E8" s="17"/>
      <c r="F8" s="17"/>
    </row>
    <row r="9" spans="1:6" ht="38.25" customHeight="1" x14ac:dyDescent="0.2">
      <c r="A9" s="231" t="s">
        <v>205</v>
      </c>
      <c r="B9" s="232"/>
      <c r="C9" s="17"/>
      <c r="D9" s="17"/>
      <c r="E9" s="17"/>
      <c r="F9" s="17"/>
    </row>
    <row r="10" spans="1:6" ht="18" customHeight="1" x14ac:dyDescent="0.2">
      <c r="A10" s="228" t="s">
        <v>101</v>
      </c>
      <c r="B10" s="229"/>
      <c r="C10" s="17"/>
      <c r="D10" s="17"/>
      <c r="E10" s="17"/>
      <c r="F10" s="17"/>
    </row>
    <row r="11" spans="1:6" x14ac:dyDescent="0.2">
      <c r="A11" s="24"/>
      <c r="B11" s="25"/>
      <c r="C11" s="17"/>
      <c r="D11" s="17"/>
      <c r="E11" s="17"/>
      <c r="F11" s="17"/>
    </row>
    <row r="12" spans="1:6" x14ac:dyDescent="0.2">
      <c r="A12" s="28" t="s">
        <v>200</v>
      </c>
      <c r="B12" s="36">
        <v>6</v>
      </c>
      <c r="C12" s="17"/>
      <c r="D12" s="17"/>
      <c r="E12" s="17"/>
      <c r="F12" s="17"/>
    </row>
    <row r="13" spans="1:6" x14ac:dyDescent="0.2">
      <c r="A13" s="27" t="s">
        <v>16</v>
      </c>
      <c r="B13" s="35" t="s">
        <v>18</v>
      </c>
      <c r="C13" s="17"/>
      <c r="D13" s="17"/>
      <c r="E13" s="17"/>
      <c r="F13" s="17"/>
    </row>
    <row r="14" spans="1:6" x14ac:dyDescent="0.2">
      <c r="A14" s="27" t="s">
        <v>202</v>
      </c>
      <c r="B14" s="35">
        <v>18</v>
      </c>
      <c r="C14" s="17"/>
      <c r="D14" s="17"/>
      <c r="E14" s="17"/>
      <c r="F14" s="17"/>
    </row>
    <row r="15" spans="1:6" x14ac:dyDescent="0.2">
      <c r="A15" s="26"/>
      <c r="B15" s="31"/>
      <c r="C15" s="17"/>
      <c r="D15" s="17"/>
      <c r="E15" s="17"/>
      <c r="F15" s="17"/>
    </row>
    <row r="16" spans="1:6" x14ac:dyDescent="0.2">
      <c r="A16" s="28" t="s">
        <v>201</v>
      </c>
      <c r="B16" s="36">
        <v>2</v>
      </c>
      <c r="C16" s="17"/>
      <c r="D16" s="17"/>
      <c r="E16" s="17"/>
      <c r="F16" s="17"/>
    </row>
    <row r="17" spans="1:6" x14ac:dyDescent="0.2">
      <c r="A17" s="27" t="s">
        <v>102</v>
      </c>
      <c r="B17" s="35" t="s">
        <v>19</v>
      </c>
      <c r="C17" s="17"/>
      <c r="D17" s="17"/>
      <c r="E17" s="17"/>
      <c r="F17" s="17"/>
    </row>
    <row r="18" spans="1:6" x14ac:dyDescent="0.2">
      <c r="A18" s="27" t="s">
        <v>20</v>
      </c>
      <c r="B18" s="35"/>
      <c r="C18" s="17"/>
      <c r="D18" s="17"/>
      <c r="E18" s="17"/>
      <c r="F18" s="17"/>
    </row>
    <row r="19" spans="1:6" x14ac:dyDescent="0.2">
      <c r="A19" s="29"/>
      <c r="B19" s="31"/>
      <c r="C19" s="17"/>
      <c r="D19" s="17"/>
      <c r="E19" s="17"/>
      <c r="F19" s="17"/>
    </row>
    <row r="20" spans="1:6" x14ac:dyDescent="0.2">
      <c r="A20" s="28" t="s">
        <v>203</v>
      </c>
      <c r="B20" s="36">
        <v>10</v>
      </c>
      <c r="C20" s="17"/>
      <c r="D20" s="17"/>
      <c r="E20" s="17"/>
      <c r="F20" s="17"/>
    </row>
    <row r="21" spans="1:6" x14ac:dyDescent="0.2">
      <c r="A21" s="27" t="s">
        <v>102</v>
      </c>
      <c r="B21" s="35" t="s">
        <v>18</v>
      </c>
      <c r="C21" s="17"/>
      <c r="D21" s="17"/>
      <c r="E21" s="17"/>
      <c r="F21" s="17"/>
    </row>
    <row r="22" spans="1:6" x14ac:dyDescent="0.2">
      <c r="A22" s="27" t="s">
        <v>20</v>
      </c>
      <c r="B22" s="35">
        <v>12</v>
      </c>
      <c r="C22" s="17"/>
      <c r="D22" s="17"/>
      <c r="E22" s="17"/>
      <c r="F22" s="17"/>
    </row>
    <row r="23" spans="1:6" x14ac:dyDescent="0.2">
      <c r="A23" s="26"/>
      <c r="B23" s="31"/>
      <c r="C23" s="17"/>
      <c r="D23" s="17"/>
      <c r="E23" s="17"/>
      <c r="F23" s="17"/>
    </row>
    <row r="24" spans="1:6" x14ac:dyDescent="0.2">
      <c r="A24" s="28" t="s">
        <v>204</v>
      </c>
      <c r="B24" s="36">
        <v>2</v>
      </c>
      <c r="C24" s="17"/>
      <c r="D24" s="17"/>
      <c r="E24" s="17"/>
      <c r="F24" s="17"/>
    </row>
    <row r="25" spans="1:6" x14ac:dyDescent="0.2">
      <c r="A25" s="27" t="s">
        <v>102</v>
      </c>
      <c r="B25" s="35" t="s">
        <v>19</v>
      </c>
      <c r="C25" s="17"/>
      <c r="D25" s="17"/>
      <c r="E25" s="17"/>
      <c r="F25" s="17"/>
    </row>
    <row r="26" spans="1:6" ht="12.75" customHeight="1" x14ac:dyDescent="0.2">
      <c r="A26" s="27" t="s">
        <v>22</v>
      </c>
      <c r="B26" s="35"/>
      <c r="C26" s="17"/>
      <c r="D26" s="17"/>
      <c r="E26" s="17"/>
      <c r="F26" s="17"/>
    </row>
    <row r="27" spans="1:6" x14ac:dyDescent="0.2">
      <c r="A27" s="30"/>
      <c r="B27" s="31"/>
      <c r="C27" s="17"/>
      <c r="D27" s="17"/>
      <c r="E27" s="17"/>
      <c r="F27" s="17"/>
    </row>
    <row r="28" spans="1:6" ht="12.75" customHeight="1" x14ac:dyDescent="0.2">
      <c r="A28" s="32" t="s">
        <v>23</v>
      </c>
      <c r="B28" s="41">
        <v>4.9000000000000004</v>
      </c>
      <c r="C28" s="17"/>
      <c r="D28" s="17"/>
      <c r="E28" s="17"/>
      <c r="F28" s="17"/>
    </row>
    <row r="29" spans="1:6" ht="42.75" customHeight="1" x14ac:dyDescent="0.2">
      <c r="A29" s="230" t="s">
        <v>103</v>
      </c>
      <c r="B29" s="230"/>
      <c r="C29" s="17"/>
      <c r="D29" s="17"/>
      <c r="E29" s="17"/>
      <c r="F29" s="17"/>
    </row>
    <row r="30" spans="1:6" ht="31.5" customHeight="1" x14ac:dyDescent="0.2">
      <c r="A30" s="230" t="s">
        <v>26</v>
      </c>
      <c r="B30" s="230"/>
      <c r="C30" s="17"/>
      <c r="D30" s="17"/>
      <c r="E30" s="17"/>
      <c r="F30" s="17"/>
    </row>
    <row r="31" spans="1:6" ht="38.25" customHeight="1" x14ac:dyDescent="0.2">
      <c r="A31" s="230" t="s">
        <v>106</v>
      </c>
      <c r="B31" s="230"/>
      <c r="C31" s="17"/>
      <c r="D31" s="17"/>
      <c r="E31" s="17"/>
      <c r="F31" s="17"/>
    </row>
    <row r="32" spans="1:6" x14ac:dyDescent="0.2">
      <c r="A32" s="188" t="s">
        <v>21</v>
      </c>
      <c r="B32" s="190"/>
      <c r="C32" s="17"/>
      <c r="D32" s="17"/>
      <c r="E32" s="17"/>
      <c r="F32" s="17"/>
    </row>
    <row r="33" spans="1:6" x14ac:dyDescent="0.2">
      <c r="A33" s="225"/>
      <c r="B33" s="225"/>
      <c r="C33" s="17"/>
      <c r="D33" s="17"/>
      <c r="E33" s="17"/>
      <c r="F33" s="17"/>
    </row>
    <row r="34" spans="1:6" ht="23.25" x14ac:dyDescent="0.35">
      <c r="A34" s="223" t="s">
        <v>614</v>
      </c>
      <c r="B34" s="224"/>
      <c r="C34" s="17"/>
      <c r="D34" s="17"/>
      <c r="E34" s="17"/>
      <c r="F34" s="17"/>
    </row>
    <row r="35" spans="1:6" x14ac:dyDescent="0.2">
      <c r="A35" s="22" t="s">
        <v>54</v>
      </c>
      <c r="B35" s="33" t="s">
        <v>24</v>
      </c>
      <c r="C35" s="17"/>
      <c r="D35" s="17"/>
      <c r="E35" s="17"/>
      <c r="F35" s="17"/>
    </row>
    <row r="36" spans="1:6" x14ac:dyDescent="0.2">
      <c r="A36" s="22" t="s">
        <v>107</v>
      </c>
      <c r="B36" s="33" t="s">
        <v>25</v>
      </c>
      <c r="C36" s="17"/>
      <c r="D36" s="17"/>
      <c r="E36" s="17"/>
      <c r="F36" s="17"/>
    </row>
    <row r="37" spans="1:6" ht="38.25" customHeight="1" x14ac:dyDescent="0.2">
      <c r="A37" s="231" t="s">
        <v>100</v>
      </c>
      <c r="B37" s="232"/>
      <c r="C37" s="17"/>
      <c r="D37" s="17"/>
      <c r="E37" s="17"/>
      <c r="F37" s="17"/>
    </row>
    <row r="38" spans="1:6" ht="18" customHeight="1" x14ac:dyDescent="0.2">
      <c r="A38" s="228" t="s">
        <v>101</v>
      </c>
      <c r="B38" s="229"/>
      <c r="C38" s="17"/>
      <c r="D38" s="17"/>
      <c r="E38" s="17"/>
      <c r="F38" s="17"/>
    </row>
    <row r="39" spans="1:6" x14ac:dyDescent="0.2">
      <c r="A39" s="24"/>
      <c r="B39" s="25"/>
      <c r="C39" s="17"/>
      <c r="D39" s="17"/>
      <c r="E39" s="17"/>
      <c r="F39" s="17"/>
    </row>
    <row r="40" spans="1:6" x14ac:dyDescent="0.2">
      <c r="A40" s="28" t="s">
        <v>50</v>
      </c>
      <c r="B40" s="37">
        <v>3</v>
      </c>
      <c r="C40" s="17"/>
      <c r="D40" s="17"/>
      <c r="E40" s="17"/>
      <c r="F40" s="17"/>
    </row>
    <row r="41" spans="1:6" x14ac:dyDescent="0.2">
      <c r="A41" s="27" t="s">
        <v>16</v>
      </c>
      <c r="B41" s="38" t="s">
        <v>18</v>
      </c>
      <c r="C41" s="17"/>
      <c r="D41" s="17"/>
      <c r="E41" s="17"/>
      <c r="F41" s="17"/>
    </row>
    <row r="42" spans="1:6" x14ac:dyDescent="0.2">
      <c r="A42" s="27" t="s">
        <v>17</v>
      </c>
      <c r="B42" s="38">
        <v>3</v>
      </c>
      <c r="C42" s="17"/>
      <c r="D42" s="17"/>
      <c r="E42" s="17"/>
      <c r="F42" s="17"/>
    </row>
    <row r="43" spans="1:6" x14ac:dyDescent="0.2">
      <c r="A43" s="26"/>
      <c r="B43" s="39"/>
      <c r="C43" s="17"/>
      <c r="D43" s="17"/>
      <c r="E43" s="17"/>
      <c r="F43" s="17"/>
    </row>
    <row r="44" spans="1:6" x14ac:dyDescent="0.2">
      <c r="A44" s="28" t="s">
        <v>51</v>
      </c>
      <c r="B44" s="37">
        <v>0.25</v>
      </c>
      <c r="C44" s="17"/>
      <c r="D44" s="17"/>
      <c r="E44" s="17"/>
      <c r="F44" s="17"/>
    </row>
    <row r="45" spans="1:6" x14ac:dyDescent="0.2">
      <c r="A45" s="27" t="s">
        <v>102</v>
      </c>
      <c r="B45" s="38" t="s">
        <v>18</v>
      </c>
      <c r="C45" s="17"/>
      <c r="D45" s="17"/>
      <c r="E45" s="17"/>
      <c r="F45" s="17"/>
    </row>
    <row r="46" spans="1:6" x14ac:dyDescent="0.2">
      <c r="A46" s="27" t="s">
        <v>20</v>
      </c>
      <c r="B46" s="38">
        <v>3</v>
      </c>
      <c r="C46" s="17"/>
      <c r="D46" s="17"/>
      <c r="E46" s="17"/>
      <c r="F46" s="17"/>
    </row>
    <row r="47" spans="1:6" x14ac:dyDescent="0.2">
      <c r="A47" s="29"/>
      <c r="B47" s="39"/>
      <c r="C47" s="17"/>
      <c r="D47" s="17"/>
      <c r="E47" s="17"/>
      <c r="F47" s="17"/>
    </row>
    <row r="48" spans="1:6" x14ac:dyDescent="0.2">
      <c r="A48" s="28" t="s">
        <v>52</v>
      </c>
      <c r="B48" s="37">
        <v>4</v>
      </c>
      <c r="C48" s="17"/>
      <c r="D48" s="17"/>
      <c r="E48" s="17"/>
      <c r="F48" s="17"/>
    </row>
    <row r="49" spans="1:6" x14ac:dyDescent="0.2">
      <c r="A49" s="27" t="s">
        <v>102</v>
      </c>
      <c r="B49" s="38" t="s">
        <v>19</v>
      </c>
      <c r="C49" s="17"/>
      <c r="D49" s="17"/>
      <c r="E49" s="17"/>
      <c r="F49" s="17"/>
    </row>
    <row r="50" spans="1:6" x14ac:dyDescent="0.2">
      <c r="A50" s="27" t="s">
        <v>20</v>
      </c>
      <c r="B50" s="38"/>
      <c r="C50" s="17"/>
      <c r="D50" s="17"/>
      <c r="E50" s="17"/>
      <c r="F50" s="17"/>
    </row>
    <row r="51" spans="1:6" x14ac:dyDescent="0.2">
      <c r="A51" s="26"/>
      <c r="B51" s="39"/>
      <c r="C51" s="17"/>
      <c r="D51" s="17"/>
      <c r="E51" s="17"/>
      <c r="F51" s="17"/>
    </row>
    <row r="52" spans="1:6" x14ac:dyDescent="0.2">
      <c r="A52" s="28" t="s">
        <v>53</v>
      </c>
      <c r="B52" s="37">
        <v>0.3</v>
      </c>
      <c r="C52" s="17"/>
      <c r="D52" s="17"/>
      <c r="E52" s="17"/>
      <c r="F52" s="17"/>
    </row>
    <row r="53" spans="1:6" x14ac:dyDescent="0.2">
      <c r="A53" s="27" t="s">
        <v>102</v>
      </c>
      <c r="B53" s="38" t="s">
        <v>19</v>
      </c>
      <c r="C53" s="17"/>
      <c r="D53" s="17"/>
      <c r="E53" s="17"/>
      <c r="F53" s="17"/>
    </row>
    <row r="54" spans="1:6" x14ac:dyDescent="0.2">
      <c r="A54" s="27" t="s">
        <v>22</v>
      </c>
      <c r="B54" s="38"/>
      <c r="C54" s="17"/>
      <c r="D54" s="17"/>
      <c r="E54" s="17"/>
      <c r="F54" s="17"/>
    </row>
    <row r="55" spans="1:6" x14ac:dyDescent="0.2">
      <c r="A55" s="30"/>
      <c r="B55" s="40"/>
      <c r="C55" s="17"/>
      <c r="D55" s="17"/>
      <c r="E55" s="17"/>
      <c r="F55" s="17"/>
    </row>
    <row r="56" spans="1:6" ht="46.5" customHeight="1" x14ac:dyDescent="0.2">
      <c r="A56" s="226" t="s">
        <v>55</v>
      </c>
      <c r="B56" s="227"/>
      <c r="C56" s="17"/>
      <c r="D56" s="17"/>
      <c r="E56" s="17"/>
      <c r="F56" s="17"/>
    </row>
    <row r="57" spans="1:6" ht="57.75" customHeight="1" x14ac:dyDescent="0.2">
      <c r="A57" s="226" t="s">
        <v>57</v>
      </c>
      <c r="B57" s="227"/>
      <c r="C57" s="17"/>
      <c r="D57" s="17"/>
      <c r="E57" s="17"/>
      <c r="F57" s="17"/>
    </row>
    <row r="58" spans="1:6" ht="42.75" customHeight="1" x14ac:dyDescent="0.2">
      <c r="A58" s="230" t="s">
        <v>103</v>
      </c>
      <c r="B58" s="230"/>
      <c r="C58" s="17"/>
      <c r="D58" s="17"/>
      <c r="E58" s="17"/>
      <c r="F58" s="17"/>
    </row>
    <row r="59" spans="1:6" ht="38.25" customHeight="1" x14ac:dyDescent="0.2">
      <c r="A59" s="230" t="s">
        <v>105</v>
      </c>
      <c r="B59" s="230"/>
      <c r="C59" s="17"/>
      <c r="D59" s="17"/>
      <c r="E59" s="17"/>
      <c r="F59" s="17"/>
    </row>
    <row r="60" spans="1:6" ht="38.25" customHeight="1" x14ac:dyDescent="0.2">
      <c r="A60" s="230" t="s">
        <v>106</v>
      </c>
      <c r="B60" s="230"/>
      <c r="C60" s="17"/>
      <c r="D60" s="17"/>
      <c r="E60" s="17"/>
      <c r="F60" s="17"/>
    </row>
    <row r="61" spans="1:6" x14ac:dyDescent="0.2">
      <c r="A61" s="221"/>
      <c r="B61" s="222"/>
      <c r="C61" s="17"/>
      <c r="D61" s="17"/>
      <c r="E61" s="17"/>
      <c r="F61" s="17"/>
    </row>
  </sheetData>
  <sheetProtection algorithmName="SHA-512" hashValue="BwRvQDFjZzCWzWubStgTjWght89jJt8hqwOAaHij55icqIaxZaUbNpjfGj6rUfl2gZlfoSf9u/rdcWkoVKkjgw==" saltValue="Q39xD85uj0chiWiHe+uU6w==" spinCount="100000" sheet="1" selectLockedCells="1"/>
  <mergeCells count="19">
    <mergeCell ref="A1:B1"/>
    <mergeCell ref="A31:B31"/>
    <mergeCell ref="A32:B32"/>
    <mergeCell ref="A2:B2"/>
    <mergeCell ref="A10:B10"/>
    <mergeCell ref="A9:B9"/>
    <mergeCell ref="A29:B29"/>
    <mergeCell ref="A30:B30"/>
    <mergeCell ref="A3:B3"/>
    <mergeCell ref="A61:B61"/>
    <mergeCell ref="A34:B34"/>
    <mergeCell ref="A33:B33"/>
    <mergeCell ref="A56:B56"/>
    <mergeCell ref="A57:B57"/>
    <mergeCell ref="A38:B38"/>
    <mergeCell ref="A58:B58"/>
    <mergeCell ref="A59:B59"/>
    <mergeCell ref="A60:B60"/>
    <mergeCell ref="A37:B37"/>
  </mergeCells>
  <phoneticPr fontId="1" type="noConversion"/>
  <dataValidations count="2">
    <dataValidation type="list" allowBlank="1" showInputMessage="1" showErrorMessage="1" sqref="B49 B41 B45 B53 B21 B13 B17 B25" xr:uid="{00000000-0002-0000-0300-000000000000}">
      <formula1>Option</formula1>
    </dataValidation>
    <dataValidation type="decimal" operator="greaterThan" allowBlank="1" showInputMessage="1" showErrorMessage="1" sqref="B12 B16 B20 B24 B28" xr:uid="{00000000-0002-0000-0300-000001000000}">
      <formula1>0</formula1>
    </dataValidation>
  </dataValidations>
  <pageMargins left="0.25" right="0.25" top="1" bottom="1" header="0.5" footer="0.5"/>
  <pageSetup orientation="portrait" r:id="rId1"/>
  <headerFooter alignWithMargins="0"/>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
  <sheetViews>
    <sheetView workbookViewId="0">
      <selection sqref="A1:G1"/>
    </sheetView>
  </sheetViews>
  <sheetFormatPr defaultRowHeight="12.75" x14ac:dyDescent="0.2"/>
  <sheetData>
    <row r="1" spans="1:7" x14ac:dyDescent="0.2">
      <c r="A1" s="213" t="s">
        <v>3457</v>
      </c>
      <c r="B1" s="214"/>
      <c r="C1" s="214"/>
      <c r="D1" s="214"/>
      <c r="E1" s="214"/>
      <c r="F1" s="214"/>
      <c r="G1" s="215"/>
    </row>
  </sheetData>
  <sheetProtection algorithmName="SHA-512" hashValue="IALGLQDOefCo34FxypIZquU7ZhNOrhqLSlePhNV+gye/1qWGErVXJB93NwTQZfv4vwdgeSKy+SlJgJlL2L++Dg==" saltValue="Nierv2AkkLdZl3sfAKTA5w==" spinCount="100000" sheet="1" objects="1" scenarios="1"/>
  <mergeCells count="1">
    <mergeCell ref="A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AY1050"/>
  <sheetViews>
    <sheetView zoomScale="70" zoomScaleNormal="70" workbookViewId="0">
      <selection activeCell="B4" sqref="B4"/>
    </sheetView>
  </sheetViews>
  <sheetFormatPr defaultRowHeight="12.75" x14ac:dyDescent="0.2"/>
  <cols>
    <col min="2" max="2" width="29.42578125" bestFit="1" customWidth="1"/>
    <col min="3" max="3" width="25.5703125" customWidth="1"/>
    <col min="4" max="4" width="12.7109375" customWidth="1"/>
    <col min="5" max="5" width="22.42578125" bestFit="1" customWidth="1"/>
    <col min="6" max="6" width="24.5703125" customWidth="1"/>
    <col min="7" max="7" width="7.7109375" customWidth="1"/>
    <col min="8" max="8" width="13.140625" bestFit="1" customWidth="1"/>
    <col min="9" max="9" width="61.5703125" bestFit="1" customWidth="1"/>
    <col min="10" max="10" width="27.7109375" bestFit="1" customWidth="1"/>
    <col min="11" max="11" width="8.85546875" bestFit="1" customWidth="1"/>
    <col min="13" max="15" width="4.28515625" customWidth="1"/>
    <col min="17" max="17" width="34.140625" bestFit="1" customWidth="1"/>
    <col min="18" max="18" width="9.42578125" bestFit="1" customWidth="1"/>
    <col min="19" max="19" width="11.28515625" bestFit="1" customWidth="1"/>
    <col min="20" max="20" width="77.28515625" bestFit="1" customWidth="1"/>
    <col min="21" max="21" width="12.7109375" customWidth="1"/>
    <col min="22" max="28" width="18.140625" style="131" customWidth="1"/>
    <col min="29" max="29" width="13.28515625" customWidth="1"/>
    <col min="31" max="31" width="16.28515625" customWidth="1"/>
    <col min="32" max="32" width="21.42578125" bestFit="1" customWidth="1"/>
    <col min="33" max="33" width="17.28515625" customWidth="1"/>
    <col min="34" max="36" width="21" customWidth="1"/>
    <col min="37" max="37" width="18.5703125" customWidth="1"/>
    <col min="38" max="38" width="81.7109375" customWidth="1"/>
    <col min="42" max="42" width="10.28515625" customWidth="1"/>
    <col min="46" max="46" width="19" customWidth="1"/>
    <col min="47" max="47" width="16.140625" customWidth="1"/>
  </cols>
  <sheetData>
    <row r="1" spans="2:50" ht="30" x14ac:dyDescent="0.4">
      <c r="B1" s="238" t="s">
        <v>2877</v>
      </c>
      <c r="C1" s="238"/>
      <c r="D1" s="238"/>
      <c r="E1" s="238"/>
      <c r="F1" s="238"/>
      <c r="G1" s="238"/>
      <c r="H1" s="238"/>
      <c r="I1" s="238"/>
      <c r="J1" s="238"/>
      <c r="K1" s="238"/>
      <c r="Q1" s="239" t="s">
        <v>658</v>
      </c>
      <c r="R1" s="239"/>
      <c r="S1" s="239"/>
      <c r="T1" s="239"/>
      <c r="U1" s="239"/>
      <c r="V1" s="239"/>
      <c r="W1" s="137"/>
      <c r="X1" s="137"/>
      <c r="Y1" s="137"/>
      <c r="Z1" s="137"/>
      <c r="AA1" s="137"/>
      <c r="AB1" s="137"/>
      <c r="AE1" s="129" t="s">
        <v>661</v>
      </c>
      <c r="AF1" s="129"/>
      <c r="AG1" s="129"/>
      <c r="AH1" s="129"/>
      <c r="AI1" s="129"/>
      <c r="AJ1" s="129"/>
      <c r="AK1" s="129"/>
      <c r="AL1" s="129"/>
      <c r="AM1" s="129"/>
      <c r="AN1" s="129"/>
      <c r="AO1" s="129"/>
      <c r="AP1" s="129"/>
      <c r="AQ1" s="129"/>
      <c r="AR1" s="129"/>
      <c r="AS1" s="129"/>
      <c r="AT1" s="129"/>
      <c r="AU1" s="129"/>
      <c r="AV1" s="129"/>
      <c r="AW1" s="129"/>
      <c r="AX1" s="129"/>
    </row>
    <row r="2" spans="2:50" x14ac:dyDescent="0.2">
      <c r="U2" s="105"/>
      <c r="AC2" s="105"/>
      <c r="AD2" s="105"/>
      <c r="AE2" s="105"/>
    </row>
    <row r="3" spans="2:50" ht="25.5" x14ac:dyDescent="0.2">
      <c r="B3" s="76" t="s">
        <v>668</v>
      </c>
      <c r="C3" s="76" t="s">
        <v>669</v>
      </c>
      <c r="D3" s="76" t="s">
        <v>3452</v>
      </c>
      <c r="E3" s="76" t="s">
        <v>110</v>
      </c>
      <c r="F3" s="76" t="s">
        <v>3453</v>
      </c>
      <c r="G3" s="76" t="s">
        <v>660</v>
      </c>
      <c r="H3" s="76" t="s">
        <v>109</v>
      </c>
      <c r="I3" s="76" t="s">
        <v>670</v>
      </c>
      <c r="J3" s="76" t="s">
        <v>78</v>
      </c>
      <c r="K3" s="77" t="s">
        <v>671</v>
      </c>
      <c r="Q3" s="69" t="str">
        <f>Plant_Information!$A$6</f>
        <v xml:space="preserve">Vendor Name </v>
      </c>
      <c r="R3" s="69" t="s">
        <v>660</v>
      </c>
      <c r="S3" s="69" t="str">
        <f>'HAULING RATES- ODOT Locations'!A7</f>
        <v>County</v>
      </c>
      <c r="T3" s="69" t="str">
        <f>'HAULING RATES- ODOT Locations'!B7</f>
        <v>Address</v>
      </c>
      <c r="U3" s="69" t="s">
        <v>2864</v>
      </c>
      <c r="V3" s="140" t="s">
        <v>659</v>
      </c>
      <c r="W3" s="76" t="s">
        <v>669</v>
      </c>
      <c r="X3" s="76" t="s">
        <v>3452</v>
      </c>
      <c r="Y3" s="76" t="s">
        <v>110</v>
      </c>
      <c r="Z3" s="76" t="s">
        <v>3453</v>
      </c>
      <c r="AA3" s="76" t="s">
        <v>660</v>
      </c>
      <c r="AB3" s="76" t="s">
        <v>109</v>
      </c>
      <c r="AE3" s="130" t="str">
        <f>' HAULING RATES- Other Locations'!$B$4</f>
        <v>Vendor Name</v>
      </c>
      <c r="AF3" s="130" t="str">
        <f>' HAULING RATES- Other Locations'!$B$5</f>
        <v>Plant Name</v>
      </c>
      <c r="AG3" s="130" t="str">
        <f>' HAULING RATES- Other Locations'!$B$6</f>
        <v>Plant Address</v>
      </c>
      <c r="AH3" s="130" t="str">
        <f>' HAULING RATES- Other Locations'!$B$7</f>
        <v>City, State, ZIP</v>
      </c>
      <c r="AI3" s="130"/>
      <c r="AJ3" s="130"/>
      <c r="AK3" s="130" t="str">
        <f>' HAULING RATES- Other Locations'!$B$8</f>
        <v>P/S Number</v>
      </c>
      <c r="AL3" s="130" t="str">
        <f>' HAULING RATES- Other Locations'!$A$12</f>
        <v>No.1 Material and Smaller  (for the First 5 Miles of the Haul Distance (Per Ton)</v>
      </c>
      <c r="AM3" s="130" t="str">
        <f>' HAULING RATES- Other Locations'!$A$13</f>
        <v xml:space="preserve">Do you require a minimum tonnage per delivery?  </v>
      </c>
      <c r="AN3" s="130" t="str">
        <f>' HAULING RATES- Other Locations'!$A$14</f>
        <v>If you marked yes, specify minimum tonnage per delivery (in Tons)</v>
      </c>
      <c r="AO3" s="130" t="str">
        <f>' HAULING RATES- Other Locations'!$A$16</f>
        <v>No.1 material and smaller for the Haul Distance from Mile 5 to the Destination (Per Ton Mile)</v>
      </c>
      <c r="AP3" s="130" t="str">
        <f>' HAULING RATES- Other Locations'!$A$17</f>
        <v>Do you require a minimum tonnage per delivery?</v>
      </c>
      <c r="AQ3" s="130" t="str">
        <f>' HAULING RATES- Other Locations'!$A$18</f>
        <v>If you marked yes, specify minimum tonnage per delivery (In Tons)</v>
      </c>
      <c r="AR3" s="130" t="str">
        <f>' HAULING RATES- Other Locations'!$A$20</f>
        <v>Dump Rock Fill Material (for the First 5 Miles of the Haul Distance (Per Ton)</v>
      </c>
      <c r="AS3" s="130" t="str">
        <f>' HAULING RATES- Other Locations'!$A$21</f>
        <v>Do you require a minimum tonnage per delivery?</v>
      </c>
      <c r="AT3" s="130" t="str">
        <f>' HAULING RATES- Other Locations'!$A$22</f>
        <v>If you marked yes, specify minimum tonnage per delivery (In Tons)</v>
      </c>
      <c r="AU3" s="130" t="str">
        <f>' HAULING RATES- Other Locations'!$A$24</f>
        <v>Dump Rock Fill Material for the Haul Distance from Mile 5 to the Destination (Per Ton Mile)</v>
      </c>
      <c r="AV3" s="130" t="str">
        <f>' HAULING RATES- Other Locations'!$A$25</f>
        <v>Do you require a minimum tonnage per delivery?</v>
      </c>
      <c r="AW3" s="130" t="str">
        <f>' HAULING RATES- Other Locations'!$A$26</f>
        <v>If you marked yes, specify minimum tonnage per delivery  (In Tons)</v>
      </c>
      <c r="AX3" s="130" t="str">
        <f>' HAULING RATES- Other Locations'!$A$28</f>
        <v>Transport salt from one ODOT storage location to another ODOT storage location  (Per Ton Mile)</v>
      </c>
    </row>
    <row r="4" spans="2:50" x14ac:dyDescent="0.2">
      <c r="B4" t="str">
        <f>+'Aggregate, Plant Pick-up'!$C$5</f>
        <v>Complete on PLANT INFORMATION TAB</v>
      </c>
      <c r="C4" t="str">
        <f>+'Aggregate, Plant Pick-up'!$C$6</f>
        <v>LAFARGE-MARBLEHEAD "OSBORNE-CLEVELAND"</v>
      </c>
      <c r="D4" t="str">
        <f>+Plant_Information!$B$10</f>
        <v>04105-28</v>
      </c>
      <c r="E4" t="str">
        <f>+Plant_Information!$B$11</f>
        <v>2100 CENTRAL FURNACE ROAD</v>
      </c>
      <c r="F4" t="str">
        <f>+Plant_Information!$B$12</f>
        <v>CLEVELAND, OH, 44115</v>
      </c>
      <c r="G4" t="str">
        <f>+Plant_Information!$B$13</f>
        <v>12</v>
      </c>
      <c r="H4" s="75" t="str">
        <f>+Plant_Information!$B$14</f>
        <v>CUY</v>
      </c>
      <c r="I4" t="str">
        <f>+'Aggregate, Plant Pick-up'!A7</f>
        <v>Aggregate (304)</v>
      </c>
      <c r="J4" t="str">
        <f>+'Aggregate, Plant Pick-up'!A9</f>
        <v xml:space="preserve">Limestone-Spec. 703.17  </v>
      </c>
      <c r="K4" s="70">
        <f>+'Aggregate, Plant Pick-up'!B9</f>
        <v>0</v>
      </c>
      <c r="Q4" t="str">
        <f>Plant_Information!$B$6</f>
        <v>(INSERT VENDOR NAME HERE)</v>
      </c>
      <c r="R4" t="str">
        <f>'HAULING RATES- ODOT Locations'!$A$6</f>
        <v>District 1</v>
      </c>
      <c r="S4" t="str">
        <f>'HAULING RATES- ODOT Locations'!A9</f>
        <v>Allen</v>
      </c>
      <c r="T4" t="str">
        <f>'HAULING RATES- ODOT Locations'!B9</f>
        <v>1705 North McCullough Street, Lima, 45801</v>
      </c>
      <c r="U4" t="str">
        <f>'HAULING RATES- ODOT Locations'!C$8</f>
        <v>Stone</v>
      </c>
      <c r="V4" s="146">
        <f>'HAULING RATES- ODOT Locations'!C9</f>
        <v>0</v>
      </c>
      <c r="W4" s="16" t="str">
        <f>+'Aggregate, Plant Pick-up'!$C$6</f>
        <v>LAFARGE-MARBLEHEAD "OSBORNE-CLEVELAND"</v>
      </c>
      <c r="X4" s="16" t="str">
        <f>+Plant_Information!$B$10</f>
        <v>04105-28</v>
      </c>
      <c r="Y4" s="16" t="str">
        <f>+Plant_Information!$B$11</f>
        <v>2100 CENTRAL FURNACE ROAD</v>
      </c>
      <c r="Z4" s="16" t="str">
        <f>+Plant_Information!$B$12</f>
        <v>CLEVELAND, OH, 44115</v>
      </c>
      <c r="AA4" s="16" t="str">
        <f>+Plant_Information!$B$13</f>
        <v>12</v>
      </c>
      <c r="AB4" s="145" t="str">
        <f>+Plant_Information!$B$14</f>
        <v>CUY</v>
      </c>
      <c r="AE4" s="130" t="str">
        <f>' HAULING RATES- Other Locations'!$A$4</f>
        <v>Complete on PLANT INFORMATION TAB</v>
      </c>
      <c r="AF4" s="130" t="str">
        <f>' HAULING RATES- Other Locations'!$A$5</f>
        <v>LAFARGE-MARBLEHEAD "OSBORNE-CLEVELAND"</v>
      </c>
      <c r="AG4" s="130" t="str">
        <f>' HAULING RATES- Other Locations'!$A$6</f>
        <v>2100 CENTRAL FURNACE ROAD</v>
      </c>
      <c r="AH4" s="130" t="str">
        <f>' HAULING RATES- Other Locations'!$A$7</f>
        <v>CLEVELAND, OH, 44115</v>
      </c>
      <c r="AI4" s="130"/>
      <c r="AJ4" s="130"/>
      <c r="AK4" s="130" t="str">
        <f>' HAULING RATES- Other Locations'!$A$8</f>
        <v>04105-28</v>
      </c>
      <c r="AL4" s="130">
        <f>' HAULING RATES- Other Locations'!$B$12</f>
        <v>6</v>
      </c>
      <c r="AM4" s="130" t="str">
        <f>' HAULING RATES- Other Locations'!$B$13</f>
        <v>Yes</v>
      </c>
      <c r="AN4" s="130">
        <f>' HAULING RATES- Other Locations'!$B$14</f>
        <v>18</v>
      </c>
      <c r="AO4" s="130">
        <f>' HAULING RATES- Other Locations'!$B$16</f>
        <v>2</v>
      </c>
      <c r="AP4" s="130" t="str">
        <f>' HAULING RATES- Other Locations'!$B$17</f>
        <v>No</v>
      </c>
      <c r="AQ4" s="130">
        <f>' HAULING RATES- Other Locations'!$B$18</f>
        <v>0</v>
      </c>
      <c r="AR4" s="130">
        <f>' HAULING RATES- Other Locations'!$B$20</f>
        <v>10</v>
      </c>
      <c r="AS4" s="130" t="str">
        <f>' HAULING RATES- Other Locations'!$B$21</f>
        <v>Yes</v>
      </c>
      <c r="AT4" s="130">
        <f>' HAULING RATES- Other Locations'!$B$22</f>
        <v>12</v>
      </c>
      <c r="AU4" s="130">
        <f>' HAULING RATES- Other Locations'!$B$24</f>
        <v>2</v>
      </c>
      <c r="AV4" s="130" t="str">
        <f>' HAULING RATES- Other Locations'!$B$25</f>
        <v>No</v>
      </c>
      <c r="AW4" s="130">
        <f>' HAULING RATES- Other Locations'!$B$26</f>
        <v>0</v>
      </c>
      <c r="AX4" s="130">
        <f>' HAULING RATES- Other Locations'!$B$28</f>
        <v>4.9000000000000004</v>
      </c>
    </row>
    <row r="5" spans="2:50" x14ac:dyDescent="0.2">
      <c r="B5" t="str">
        <f>+'Aggregate, Plant Pick-up'!$C$5</f>
        <v>Complete on PLANT INFORMATION TAB</v>
      </c>
      <c r="C5" t="str">
        <f>+'Aggregate, Plant Pick-up'!$C$6</f>
        <v>LAFARGE-MARBLEHEAD "OSBORNE-CLEVELAND"</v>
      </c>
      <c r="D5" t="str">
        <f>+Plant_Information!$B$10</f>
        <v>04105-28</v>
      </c>
      <c r="E5" t="str">
        <f>+Plant_Information!$B$11</f>
        <v>2100 CENTRAL FURNACE ROAD</v>
      </c>
      <c r="F5" t="str">
        <f>+Plant_Information!$B$12</f>
        <v>CLEVELAND, OH, 44115</v>
      </c>
      <c r="G5" t="str">
        <f>+Plant_Information!$B$13</f>
        <v>12</v>
      </c>
      <c r="H5" s="75" t="str">
        <f>+Plant_Information!$B$14</f>
        <v>CUY</v>
      </c>
      <c r="I5" t="str">
        <f>+'Aggregate, Plant Pick-up'!A7</f>
        <v>Aggregate (304)</v>
      </c>
      <c r="J5" t="str">
        <f>+'Aggregate, Plant Pick-up'!A10</f>
        <v>Slag-Spec. 703.17</v>
      </c>
      <c r="K5" s="70">
        <f>+'Aggregate, Plant Pick-up'!B10</f>
        <v>0</v>
      </c>
      <c r="Q5" t="str">
        <f>Plant_Information!$B$6</f>
        <v>(INSERT VENDOR NAME HERE)</v>
      </c>
      <c r="R5" t="str">
        <f>'HAULING RATES- ODOT Locations'!$A$6</f>
        <v>District 1</v>
      </c>
      <c r="S5" t="str">
        <f>'HAULING RATES- ODOT Locations'!A10</f>
        <v>Defiance</v>
      </c>
      <c r="T5" t="str">
        <f>'HAULING RATES- ODOT Locations'!B10</f>
        <v>2340 Baltimore Rd., Defiance 43512</v>
      </c>
      <c r="U5" t="str">
        <f>'HAULING RATES- ODOT Locations'!C$8</f>
        <v>Stone</v>
      </c>
      <c r="V5" s="146">
        <f>'HAULING RATES- ODOT Locations'!C10</f>
        <v>0</v>
      </c>
      <c r="W5" s="16" t="str">
        <f>+'Aggregate, Plant Pick-up'!$C$6</f>
        <v>LAFARGE-MARBLEHEAD "OSBORNE-CLEVELAND"</v>
      </c>
      <c r="X5" s="16" t="str">
        <f>+Plant_Information!$B$10</f>
        <v>04105-28</v>
      </c>
      <c r="Y5" s="16" t="str">
        <f>+Plant_Information!$B$11</f>
        <v>2100 CENTRAL FURNACE ROAD</v>
      </c>
      <c r="Z5" s="16" t="str">
        <f>+Plant_Information!$B$12</f>
        <v>CLEVELAND, OH, 44115</v>
      </c>
      <c r="AA5" s="16" t="str">
        <f>+Plant_Information!$B$13</f>
        <v>12</v>
      </c>
      <c r="AB5" s="145" t="str">
        <f>+Plant_Information!$B$14</f>
        <v>CUY</v>
      </c>
      <c r="AC5" s="70"/>
    </row>
    <row r="6" spans="2:50" x14ac:dyDescent="0.2">
      <c r="B6" t="str">
        <f>+'Aggregate, Plant Pick-up'!$C$5</f>
        <v>Complete on PLANT INFORMATION TAB</v>
      </c>
      <c r="C6" t="str">
        <f>+'Aggregate, Plant Pick-up'!$C$6</f>
        <v>LAFARGE-MARBLEHEAD "OSBORNE-CLEVELAND"</v>
      </c>
      <c r="D6" t="str">
        <f>+Plant_Information!$B$10</f>
        <v>04105-28</v>
      </c>
      <c r="E6" t="str">
        <f>+Plant_Information!$B$11</f>
        <v>2100 CENTRAL FURNACE ROAD</v>
      </c>
      <c r="F6" t="str">
        <f>+Plant_Information!$B$12</f>
        <v>CLEVELAND, OH, 44115</v>
      </c>
      <c r="G6" t="str">
        <f>+Plant_Information!$B$13</f>
        <v>12</v>
      </c>
      <c r="H6" s="75" t="str">
        <f>+Plant_Information!$B$14</f>
        <v>CUY</v>
      </c>
      <c r="I6" t="str">
        <f>+'Aggregate, Plant Pick-up'!A7</f>
        <v>Aggregate (304)</v>
      </c>
      <c r="J6" t="str">
        <f>+'Aggregate, Plant Pick-up'!A11</f>
        <v>CR Gravel-Spec. 703.17</v>
      </c>
      <c r="K6" s="70">
        <f>+'Aggregate, Plant Pick-up'!B11</f>
        <v>0</v>
      </c>
      <c r="Q6" t="str">
        <f>Plant_Information!$B$6</f>
        <v>(INSERT VENDOR NAME HERE)</v>
      </c>
      <c r="R6" t="str">
        <f>'HAULING RATES- ODOT Locations'!$A$6</f>
        <v>District 1</v>
      </c>
      <c r="S6" t="str">
        <f>'HAULING RATES- ODOT Locations'!A11</f>
        <v>Hancock</v>
      </c>
      <c r="T6" t="str">
        <f>'HAULING RATES- ODOT Locations'!B11</f>
        <v>1645 Lima Ave., Findlay 45840</v>
      </c>
      <c r="U6" t="str">
        <f>'HAULING RATES- ODOT Locations'!C$8</f>
        <v>Stone</v>
      </c>
      <c r="V6" s="146">
        <f>'HAULING RATES- ODOT Locations'!C11</f>
        <v>0</v>
      </c>
      <c r="W6" s="131" t="str">
        <f>+'Aggregate, Plant Pick-up'!$C$6</f>
        <v>LAFARGE-MARBLEHEAD "OSBORNE-CLEVELAND"</v>
      </c>
      <c r="X6" s="131" t="str">
        <f>+Plant_Information!$B$10</f>
        <v>04105-28</v>
      </c>
      <c r="Y6" s="131" t="str">
        <f>+Plant_Information!$B$11</f>
        <v>2100 CENTRAL FURNACE ROAD</v>
      </c>
      <c r="Z6" s="131" t="str">
        <f>+Plant_Information!$B$12</f>
        <v>CLEVELAND, OH, 44115</v>
      </c>
      <c r="AA6" s="131" t="str">
        <f>+Plant_Information!$B$13</f>
        <v>12</v>
      </c>
      <c r="AB6" s="131" t="str">
        <f>+Plant_Information!$B$14</f>
        <v>CUY</v>
      </c>
      <c r="AC6" s="70"/>
    </row>
    <row r="7" spans="2:50" x14ac:dyDescent="0.2">
      <c r="B7" t="str">
        <f>+'Aggregate, Plant Pick-up'!$C$5</f>
        <v>Complete on PLANT INFORMATION TAB</v>
      </c>
      <c r="C7" t="str">
        <f>+'Aggregate, Plant Pick-up'!$C$6</f>
        <v>LAFARGE-MARBLEHEAD "OSBORNE-CLEVELAND"</v>
      </c>
      <c r="D7" t="str">
        <f>+Plant_Information!$B$10</f>
        <v>04105-28</v>
      </c>
      <c r="E7" t="str">
        <f>+Plant_Information!$B$11</f>
        <v>2100 CENTRAL FURNACE ROAD</v>
      </c>
      <c r="F7" t="str">
        <f>+Plant_Information!$B$12</f>
        <v>CLEVELAND, OH, 44115</v>
      </c>
      <c r="G7" t="str">
        <f>+Plant_Information!$B$13</f>
        <v>12</v>
      </c>
      <c r="H7" s="75" t="str">
        <f>+Plant_Information!$B$14</f>
        <v>CUY</v>
      </c>
      <c r="I7" t="str">
        <f>+'Aggregate, Plant Pick-up'!A7</f>
        <v>Aggregate (304)</v>
      </c>
      <c r="J7" t="str">
        <f>+'Aggregate, Plant Pick-up'!A12</f>
        <v>Gran. Slag-Spec. 703.08</v>
      </c>
      <c r="K7" s="70">
        <f>+'Aggregate, Plant Pick-up'!B12</f>
        <v>0</v>
      </c>
      <c r="Q7" t="str">
        <f>Plant_Information!$B$6</f>
        <v>(INSERT VENDOR NAME HERE)</v>
      </c>
      <c r="R7" t="str">
        <f>'HAULING RATES- ODOT Locations'!$A$6</f>
        <v>District 1</v>
      </c>
      <c r="S7" t="str">
        <f>'HAULING RATES- ODOT Locations'!A12</f>
        <v>Hardin</v>
      </c>
      <c r="T7" t="str">
        <f>'HAULING RATES- ODOT Locations'!B12</f>
        <v>13052 US 68, Kenton 43326</v>
      </c>
      <c r="U7" t="str">
        <f>'HAULING RATES- ODOT Locations'!C$8</f>
        <v>Stone</v>
      </c>
      <c r="V7" s="146">
        <f>'HAULING RATES- ODOT Locations'!C12</f>
        <v>0</v>
      </c>
      <c r="W7" s="131" t="str">
        <f>+'Aggregate, Plant Pick-up'!$C$6</f>
        <v>LAFARGE-MARBLEHEAD "OSBORNE-CLEVELAND"</v>
      </c>
      <c r="X7" s="131" t="str">
        <f>+Plant_Information!$B$10</f>
        <v>04105-28</v>
      </c>
      <c r="Y7" s="131" t="str">
        <f>+Plant_Information!$B$11</f>
        <v>2100 CENTRAL FURNACE ROAD</v>
      </c>
      <c r="Z7" s="131" t="str">
        <f>+Plant_Information!$B$12</f>
        <v>CLEVELAND, OH, 44115</v>
      </c>
      <c r="AA7" s="131" t="str">
        <f>+Plant_Information!$B$13</f>
        <v>12</v>
      </c>
      <c r="AB7" s="131" t="str">
        <f>+Plant_Information!$B$14</f>
        <v>CUY</v>
      </c>
      <c r="AC7" s="70"/>
    </row>
    <row r="8" spans="2:50" x14ac:dyDescent="0.2">
      <c r="B8" t="str">
        <f>+'Aggregate, Plant Pick-up'!$C$5</f>
        <v>Complete on PLANT INFORMATION TAB</v>
      </c>
      <c r="C8" t="str">
        <f>+'Aggregate, Plant Pick-up'!$C$6</f>
        <v>LAFARGE-MARBLEHEAD "OSBORNE-CLEVELAND"</v>
      </c>
      <c r="D8" t="str">
        <f>+Plant_Information!$B$10</f>
        <v>04105-28</v>
      </c>
      <c r="E8" t="str">
        <f>+Plant_Information!$B$11</f>
        <v>2100 CENTRAL FURNACE ROAD</v>
      </c>
      <c r="F8" t="str">
        <f>+Plant_Information!$B$12</f>
        <v>CLEVELAND, OH, 44115</v>
      </c>
      <c r="G8" t="str">
        <f>+Plant_Information!$B$13</f>
        <v>12</v>
      </c>
      <c r="H8" s="75" t="str">
        <f>+Plant_Information!$B$14</f>
        <v>CUY</v>
      </c>
      <c r="I8" t="str">
        <f>+'Aggregate, Plant Pick-up'!A13</f>
        <v>Dump Rock Fill</v>
      </c>
      <c r="J8" t="str">
        <f>+'Aggregate, Plant Pick-up'!A15</f>
        <v>A-703.19.B.1</v>
      </c>
      <c r="K8" s="70">
        <f>+'Aggregate, Plant Pick-up'!B15</f>
        <v>60</v>
      </c>
      <c r="Q8" t="str">
        <f>Plant_Information!$B$6</f>
        <v>(INSERT VENDOR NAME HERE)</v>
      </c>
      <c r="R8" t="str">
        <f>'HAULING RATES- ODOT Locations'!$A$6</f>
        <v>District 1</v>
      </c>
      <c r="S8" t="str">
        <f>'HAULING RATES- ODOT Locations'!A13</f>
        <v>Paulding</v>
      </c>
      <c r="T8" t="str">
        <f>'HAULING RATES- ODOT Locations'!B13</f>
        <v>833 W. Wayne St., Paulding 45879</v>
      </c>
      <c r="U8" t="str">
        <f>'HAULING RATES- ODOT Locations'!C$8</f>
        <v>Stone</v>
      </c>
      <c r="V8" s="146">
        <f>'HAULING RATES- ODOT Locations'!C13</f>
        <v>0</v>
      </c>
      <c r="W8" s="131" t="str">
        <f>+'Aggregate, Plant Pick-up'!$C$6</f>
        <v>LAFARGE-MARBLEHEAD "OSBORNE-CLEVELAND"</v>
      </c>
      <c r="X8" s="131" t="str">
        <f>+Plant_Information!$B$10</f>
        <v>04105-28</v>
      </c>
      <c r="Y8" s="131" t="str">
        <f>+Plant_Information!$B$11</f>
        <v>2100 CENTRAL FURNACE ROAD</v>
      </c>
      <c r="Z8" s="131" t="str">
        <f>+Plant_Information!$B$12</f>
        <v>CLEVELAND, OH, 44115</v>
      </c>
      <c r="AA8" s="131" t="str">
        <f>+Plant_Information!$B$13</f>
        <v>12</v>
      </c>
      <c r="AB8" s="131" t="str">
        <f>+Plant_Information!$B$14</f>
        <v>CUY</v>
      </c>
      <c r="AC8" s="70"/>
    </row>
    <row r="9" spans="2:50" x14ac:dyDescent="0.2">
      <c r="B9" t="str">
        <f>+'Aggregate, Plant Pick-up'!$C$5</f>
        <v>Complete on PLANT INFORMATION TAB</v>
      </c>
      <c r="C9" t="str">
        <f>+'Aggregate, Plant Pick-up'!$C$6</f>
        <v>LAFARGE-MARBLEHEAD "OSBORNE-CLEVELAND"</v>
      </c>
      <c r="D9" t="str">
        <f>+Plant_Information!$B$10</f>
        <v>04105-28</v>
      </c>
      <c r="E9" t="str">
        <f>+Plant_Information!$B$11</f>
        <v>2100 CENTRAL FURNACE ROAD</v>
      </c>
      <c r="F9" t="str">
        <f>+Plant_Information!$B$12</f>
        <v>CLEVELAND, OH, 44115</v>
      </c>
      <c r="G9" t="str">
        <f>+Plant_Information!$B$13</f>
        <v>12</v>
      </c>
      <c r="H9" s="75" t="str">
        <f>+Plant_Information!$B$14</f>
        <v>CUY</v>
      </c>
      <c r="I9" t="str">
        <f>+'Aggregate, Plant Pick-up'!A13</f>
        <v>Dump Rock Fill</v>
      </c>
      <c r="J9" t="str">
        <f>+'Aggregate, Plant Pick-up'!A16</f>
        <v>B-703.19.B.2</v>
      </c>
      <c r="K9" s="70">
        <f>+'Aggregate, Plant Pick-up'!B16</f>
        <v>52</v>
      </c>
      <c r="Q9" t="str">
        <f>Plant_Information!$B$6</f>
        <v>(INSERT VENDOR NAME HERE)</v>
      </c>
      <c r="R9" t="str">
        <f>'HAULING RATES- ODOT Locations'!$A$6</f>
        <v>District 1</v>
      </c>
      <c r="S9" t="str">
        <f>'HAULING RATES- ODOT Locations'!A14</f>
        <v xml:space="preserve">Putnam </v>
      </c>
      <c r="T9" t="str">
        <f>'HAULING RATES- ODOT Locations'!B14</f>
        <v>617 E. 11th St. (Intersection SR 65 &amp; 11th Street), Ottawa, 45875</v>
      </c>
      <c r="U9" t="str">
        <f>'HAULING RATES- ODOT Locations'!C$8</f>
        <v>Stone</v>
      </c>
      <c r="V9" s="146">
        <f>'HAULING RATES- ODOT Locations'!C14</f>
        <v>0</v>
      </c>
      <c r="W9" s="131" t="str">
        <f>+'Aggregate, Plant Pick-up'!$C$6</f>
        <v>LAFARGE-MARBLEHEAD "OSBORNE-CLEVELAND"</v>
      </c>
      <c r="X9" s="131" t="str">
        <f>+Plant_Information!$B$10</f>
        <v>04105-28</v>
      </c>
      <c r="Y9" s="131" t="str">
        <f>+Plant_Information!$B$11</f>
        <v>2100 CENTRAL FURNACE ROAD</v>
      </c>
      <c r="Z9" s="131" t="str">
        <f>+Plant_Information!$B$12</f>
        <v>CLEVELAND, OH, 44115</v>
      </c>
      <c r="AA9" s="131" t="str">
        <f>+Plant_Information!$B$13</f>
        <v>12</v>
      </c>
      <c r="AB9" s="131" t="str">
        <f>+Plant_Information!$B$14</f>
        <v>CUY</v>
      </c>
      <c r="AC9" s="70"/>
    </row>
    <row r="10" spans="2:50" x14ac:dyDescent="0.2">
      <c r="B10" t="str">
        <f>+'Aggregate, Plant Pick-up'!$C$5</f>
        <v>Complete on PLANT INFORMATION TAB</v>
      </c>
      <c r="C10" t="str">
        <f>+'Aggregate, Plant Pick-up'!$C$6</f>
        <v>LAFARGE-MARBLEHEAD "OSBORNE-CLEVELAND"</v>
      </c>
      <c r="D10" t="str">
        <f>+Plant_Information!$B$10</f>
        <v>04105-28</v>
      </c>
      <c r="E10" t="str">
        <f>+Plant_Information!$B$11</f>
        <v>2100 CENTRAL FURNACE ROAD</v>
      </c>
      <c r="F10" t="str">
        <f>+Plant_Information!$B$12</f>
        <v>CLEVELAND, OH, 44115</v>
      </c>
      <c r="G10" t="str">
        <f>+Plant_Information!$B$13</f>
        <v>12</v>
      </c>
      <c r="H10" s="75" t="str">
        <f>+Plant_Information!$B$14</f>
        <v>CUY</v>
      </c>
      <c r="I10" t="str">
        <f>+'Aggregate, Plant Pick-up'!A13</f>
        <v>Dump Rock Fill</v>
      </c>
      <c r="J10" t="str">
        <f>+'Aggregate, Plant Pick-up'!A17</f>
        <v>C-703.19.B.3</v>
      </c>
      <c r="K10" s="70">
        <f>+'Aggregate, Plant Pick-up'!B17</f>
        <v>40</v>
      </c>
      <c r="Q10" t="str">
        <f>Plant_Information!$B$6</f>
        <v>(INSERT VENDOR NAME HERE)</v>
      </c>
      <c r="R10" t="str">
        <f>'HAULING RATES- ODOT Locations'!$A$6</f>
        <v>District 1</v>
      </c>
      <c r="S10" t="str">
        <f>'HAULING RATES- ODOT Locations'!A15</f>
        <v>Van Wert</v>
      </c>
      <c r="T10" t="str">
        <f>'HAULING RATES- ODOT Locations'!B15</f>
        <v>10238 Van Wert-Decatur Rd., Van Wert 45891</v>
      </c>
      <c r="U10" t="str">
        <f>'HAULING RATES- ODOT Locations'!C$8</f>
        <v>Stone</v>
      </c>
      <c r="V10" s="146">
        <f>'HAULING RATES- ODOT Locations'!C15</f>
        <v>0</v>
      </c>
      <c r="W10" s="131" t="str">
        <f>+'Aggregate, Plant Pick-up'!$C$6</f>
        <v>LAFARGE-MARBLEHEAD "OSBORNE-CLEVELAND"</v>
      </c>
      <c r="X10" s="131" t="str">
        <f>+Plant_Information!$B$10</f>
        <v>04105-28</v>
      </c>
      <c r="Y10" s="131" t="str">
        <f>+Plant_Information!$B$11</f>
        <v>2100 CENTRAL FURNACE ROAD</v>
      </c>
      <c r="Z10" s="131" t="str">
        <f>+Plant_Information!$B$12</f>
        <v>CLEVELAND, OH, 44115</v>
      </c>
      <c r="AA10" s="131" t="str">
        <f>+Plant_Information!$B$13</f>
        <v>12</v>
      </c>
      <c r="AB10" s="131" t="str">
        <f>+Plant_Information!$B$14</f>
        <v>CUY</v>
      </c>
      <c r="AC10" s="70"/>
    </row>
    <row r="11" spans="2:50" x14ac:dyDescent="0.2">
      <c r="B11" t="str">
        <f>+'Aggregate, Plant Pick-up'!$C$5</f>
        <v>Complete on PLANT INFORMATION TAB</v>
      </c>
      <c r="C11" t="str">
        <f>+'Aggregate, Plant Pick-up'!$C$6</f>
        <v>LAFARGE-MARBLEHEAD "OSBORNE-CLEVELAND"</v>
      </c>
      <c r="D11" t="str">
        <f>+Plant_Information!$B$10</f>
        <v>04105-28</v>
      </c>
      <c r="E11" t="str">
        <f>+Plant_Information!$B$11</f>
        <v>2100 CENTRAL FURNACE ROAD</v>
      </c>
      <c r="F11" t="str">
        <f>+Plant_Information!$B$12</f>
        <v>CLEVELAND, OH, 44115</v>
      </c>
      <c r="G11" t="str">
        <f>+Plant_Information!$B$13</f>
        <v>12</v>
      </c>
      <c r="H11" s="75" t="str">
        <f>+Plant_Information!$B$14</f>
        <v>CUY</v>
      </c>
      <c r="I11" t="str">
        <f>+'Aggregate, Plant Pick-up'!A13</f>
        <v>Dump Rock Fill</v>
      </c>
      <c r="J11" t="str">
        <f>+'Aggregate, Plant Pick-up'!A18</f>
        <v>D-703.19.B.4</v>
      </c>
      <c r="K11" s="70">
        <f>+'Aggregate, Plant Pick-up'!B18</f>
        <v>36</v>
      </c>
      <c r="Q11" t="str">
        <f>Plant_Information!$B$6</f>
        <v>(INSERT VENDOR NAME HERE)</v>
      </c>
      <c r="R11" t="str">
        <f>'HAULING RATES- ODOT Locations'!$A$6</f>
        <v>District 1</v>
      </c>
      <c r="S11" t="str">
        <f>'HAULING RATES- ODOT Locations'!A16</f>
        <v>Wyandot</v>
      </c>
      <c r="T11" t="str">
        <f>'HAULING RATES- ODOT Locations'!B16</f>
        <v>10976 County Highway 121, Upper Sandusky 43351</v>
      </c>
      <c r="U11" t="str">
        <f>'HAULING RATES- ODOT Locations'!C$8</f>
        <v>Stone</v>
      </c>
      <c r="V11" s="146">
        <f>'HAULING RATES- ODOT Locations'!C16</f>
        <v>0</v>
      </c>
      <c r="W11" s="131" t="str">
        <f>+'Aggregate, Plant Pick-up'!$C$6</f>
        <v>LAFARGE-MARBLEHEAD "OSBORNE-CLEVELAND"</v>
      </c>
      <c r="X11" s="131" t="str">
        <f>+Plant_Information!$B$10</f>
        <v>04105-28</v>
      </c>
      <c r="Y11" s="131" t="str">
        <f>+Plant_Information!$B$11</f>
        <v>2100 CENTRAL FURNACE ROAD</v>
      </c>
      <c r="Z11" s="131" t="str">
        <f>+Plant_Information!$B$12</f>
        <v>CLEVELAND, OH, 44115</v>
      </c>
      <c r="AA11" s="131" t="str">
        <f>+Plant_Information!$B$13</f>
        <v>12</v>
      </c>
      <c r="AB11" s="131" t="str">
        <f>+Plant_Information!$B$14</f>
        <v>CUY</v>
      </c>
      <c r="AC11" s="70"/>
      <c r="AE11" s="240" t="s">
        <v>661</v>
      </c>
      <c r="AF11" s="240"/>
      <c r="AG11" s="240"/>
      <c r="AH11" s="240"/>
      <c r="AI11" s="240"/>
      <c r="AJ11" s="240"/>
      <c r="AK11" s="240"/>
      <c r="AL11" s="240"/>
      <c r="AM11" s="240"/>
      <c r="AN11" s="240"/>
      <c r="AO11" s="240"/>
      <c r="AP11" s="240"/>
      <c r="AQ11" s="240"/>
      <c r="AR11" s="240"/>
      <c r="AS11" s="240"/>
      <c r="AT11" s="240"/>
      <c r="AU11" s="240"/>
      <c r="AV11" s="240"/>
      <c r="AW11" s="240"/>
      <c r="AX11" s="240"/>
    </row>
    <row r="12" spans="2:50" x14ac:dyDescent="0.2">
      <c r="B12" t="str">
        <f>+'Aggregate, Plant Pick-up'!$C$5</f>
        <v>Complete on PLANT INFORMATION TAB</v>
      </c>
      <c r="C12" t="str">
        <f>+'Aggregate, Plant Pick-up'!$C$6</f>
        <v>LAFARGE-MARBLEHEAD "OSBORNE-CLEVELAND"</v>
      </c>
      <c r="D12" t="str">
        <f>+Plant_Information!$B$10</f>
        <v>04105-28</v>
      </c>
      <c r="E12" t="str">
        <f>+Plant_Information!$B$11</f>
        <v>2100 CENTRAL FURNACE ROAD</v>
      </c>
      <c r="F12" t="str">
        <f>+Plant_Information!$B$12</f>
        <v>CLEVELAND, OH, 44115</v>
      </c>
      <c r="G12" t="str">
        <f>+Plant_Information!$B$13</f>
        <v>12</v>
      </c>
      <c r="H12" s="75" t="str">
        <f>+Plant_Information!$B$14</f>
        <v>CUY</v>
      </c>
      <c r="I12" t="str">
        <f>+'Aggregate, Plant Pick-up'!C7</f>
        <v>Fine Aggregate</v>
      </c>
      <c r="J12" t="str">
        <f>+'Aggregate, Plant Pick-up'!C9</f>
        <v>Natural Sand-Spec. 703.02</v>
      </c>
      <c r="K12" s="70">
        <f>+'Aggregate, Plant Pick-up'!D9</f>
        <v>0</v>
      </c>
      <c r="Q12" t="str">
        <f>Plant_Information!$B$6</f>
        <v>(INSERT VENDOR NAME HERE)</v>
      </c>
      <c r="R12" t="str">
        <f>'HAULING RATES- ODOT Locations'!$A$17</f>
        <v>District 2</v>
      </c>
      <c r="S12" t="str">
        <f>'HAULING RATES- ODOT Locations'!A20</f>
        <v>Fulton</v>
      </c>
      <c r="T12" t="str">
        <f>'HAULING RATES- ODOT Locations'!B20</f>
        <v>8878 State Route 108, Wauseon, Ohio 43567</v>
      </c>
      <c r="U12" t="str">
        <f>'HAULING RATES- ODOT Locations'!C$8</f>
        <v>Stone</v>
      </c>
      <c r="V12" s="146">
        <f>'HAULING RATES- ODOT Locations'!C20</f>
        <v>0</v>
      </c>
      <c r="W12" s="131" t="str">
        <f>+'Aggregate, Plant Pick-up'!$C$6</f>
        <v>LAFARGE-MARBLEHEAD "OSBORNE-CLEVELAND"</v>
      </c>
      <c r="X12" s="131" t="str">
        <f>+Plant_Information!$B$10</f>
        <v>04105-28</v>
      </c>
      <c r="Y12" s="131" t="str">
        <f>+Plant_Information!$B$11</f>
        <v>2100 CENTRAL FURNACE ROAD</v>
      </c>
      <c r="Z12" s="131" t="str">
        <f>+Plant_Information!$B$12</f>
        <v>CLEVELAND, OH, 44115</v>
      </c>
      <c r="AA12" s="131" t="str">
        <f>+Plant_Information!$B$13</f>
        <v>12</v>
      </c>
      <c r="AB12" s="131" t="str">
        <f>+Plant_Information!$B$14</f>
        <v>CUY</v>
      </c>
      <c r="AC12" s="70"/>
    </row>
    <row r="13" spans="2:50" x14ac:dyDescent="0.2">
      <c r="B13" t="str">
        <f>+'Aggregate, Plant Pick-up'!$C$5</f>
        <v>Complete on PLANT INFORMATION TAB</v>
      </c>
      <c r="C13" t="str">
        <f>+'Aggregate, Plant Pick-up'!$C$6</f>
        <v>LAFARGE-MARBLEHEAD "OSBORNE-CLEVELAND"</v>
      </c>
      <c r="D13" t="str">
        <f>+Plant_Information!$B$10</f>
        <v>04105-28</v>
      </c>
      <c r="E13" t="str">
        <f>+Plant_Information!$B$11</f>
        <v>2100 CENTRAL FURNACE ROAD</v>
      </c>
      <c r="F13" t="str">
        <f>+Plant_Information!$B$12</f>
        <v>CLEVELAND, OH, 44115</v>
      </c>
      <c r="G13" t="str">
        <f>+Plant_Information!$B$13</f>
        <v>12</v>
      </c>
      <c r="H13" s="75" t="str">
        <f>+Plant_Information!$B$14</f>
        <v>CUY</v>
      </c>
      <c r="I13" t="str">
        <f>+'Aggregate, Plant Pick-up'!C7</f>
        <v>Fine Aggregate</v>
      </c>
      <c r="J13" t="str">
        <f>+'Aggregate, Plant Pick-up'!C10</f>
        <v xml:space="preserve">Crushed Stone-Spec. 703.02    </v>
      </c>
      <c r="K13" s="70">
        <f>+'Aggregate, Plant Pick-up'!D10</f>
        <v>0</v>
      </c>
      <c r="Q13" t="str">
        <f>Plant_Information!$B$6</f>
        <v>(INSERT VENDOR NAME HERE)</v>
      </c>
      <c r="R13" t="str">
        <f>'HAULING RATES- ODOT Locations'!$A$17</f>
        <v>District 2</v>
      </c>
      <c r="S13" t="str">
        <f>'HAULING RATES- ODOT Locations'!A21</f>
        <v>Henry</v>
      </c>
      <c r="T13" t="str">
        <f>'HAULING RATES- ODOT Locations'!B21</f>
        <v>9733 SR 110 Napoleon, Oh 43545</v>
      </c>
      <c r="U13" t="str">
        <f>'HAULING RATES- ODOT Locations'!C$8</f>
        <v>Stone</v>
      </c>
      <c r="V13" s="146">
        <f>'HAULING RATES- ODOT Locations'!C21</f>
        <v>0</v>
      </c>
      <c r="W13" s="131" t="str">
        <f>+'Aggregate, Plant Pick-up'!$C$6</f>
        <v>LAFARGE-MARBLEHEAD "OSBORNE-CLEVELAND"</v>
      </c>
      <c r="X13" s="131" t="str">
        <f>+Plant_Information!$B$10</f>
        <v>04105-28</v>
      </c>
      <c r="Y13" s="131" t="str">
        <f>+Plant_Information!$B$11</f>
        <v>2100 CENTRAL FURNACE ROAD</v>
      </c>
      <c r="Z13" s="131" t="str">
        <f>+Plant_Information!$B$12</f>
        <v>CLEVELAND, OH, 44115</v>
      </c>
      <c r="AA13" s="131" t="str">
        <f>+Plant_Information!$B$13</f>
        <v>12</v>
      </c>
      <c r="AB13" s="131" t="str">
        <f>+Plant_Information!$B$14</f>
        <v>CUY</v>
      </c>
      <c r="AC13" s="70"/>
      <c r="AE13" t="str">
        <f>' HAULING RATES- Other Locations'!$B$4</f>
        <v>Vendor Name</v>
      </c>
      <c r="AF13" t="str">
        <f>' HAULING RATES- Other Locations'!$B$5</f>
        <v>Plant Name</v>
      </c>
      <c r="AG13" t="str">
        <f>' HAULING RATES- Other Locations'!$B$6</f>
        <v>Plant Address</v>
      </c>
      <c r="AH13" t="str">
        <f>' HAULING RATES- Other Locations'!$B$7</f>
        <v>City, State, ZIP</v>
      </c>
      <c r="AI13" s="76" t="s">
        <v>660</v>
      </c>
      <c r="AJ13" s="76" t="s">
        <v>109</v>
      </c>
      <c r="AK13" t="str">
        <f>' HAULING RATES- Other Locations'!$B$8</f>
        <v>P/S Number</v>
      </c>
      <c r="AM13" t="s">
        <v>2887</v>
      </c>
      <c r="AN13" s="17" t="s">
        <v>2878</v>
      </c>
      <c r="AO13" t="s">
        <v>2880</v>
      </c>
      <c r="AP13" t="s">
        <v>2882</v>
      </c>
      <c r="AQ13" t="s">
        <v>2879</v>
      </c>
      <c r="AR13" t="s">
        <v>2881</v>
      </c>
      <c r="AS13" t="s">
        <v>2883</v>
      </c>
    </row>
    <row r="14" spans="2:50" x14ac:dyDescent="0.2">
      <c r="B14" t="str">
        <f>+'Aggregate, Plant Pick-up'!$C$5</f>
        <v>Complete on PLANT INFORMATION TAB</v>
      </c>
      <c r="C14" t="str">
        <f>+'Aggregate, Plant Pick-up'!$C$6</f>
        <v>LAFARGE-MARBLEHEAD "OSBORNE-CLEVELAND"</v>
      </c>
      <c r="D14" t="str">
        <f>+Plant_Information!$B$10</f>
        <v>04105-28</v>
      </c>
      <c r="E14" t="str">
        <f>+Plant_Information!$B$11</f>
        <v>2100 CENTRAL FURNACE ROAD</v>
      </c>
      <c r="F14" t="str">
        <f>+Plant_Information!$B$12</f>
        <v>CLEVELAND, OH, 44115</v>
      </c>
      <c r="G14" t="str">
        <f>+Plant_Information!$B$13</f>
        <v>12</v>
      </c>
      <c r="H14" s="75" t="str">
        <f>+Plant_Information!$B$14</f>
        <v>CUY</v>
      </c>
      <c r="I14" t="str">
        <f>+'Aggregate, Plant Pick-up'!C7</f>
        <v>Fine Aggregate</v>
      </c>
      <c r="J14" t="str">
        <f>+'Aggregate, Plant Pick-up'!C11</f>
        <v>Natural Sand-Spec. 703.03</v>
      </c>
      <c r="K14" s="70">
        <f>+'Aggregate, Plant Pick-up'!D11</f>
        <v>0</v>
      </c>
      <c r="Q14" t="str">
        <f>Plant_Information!$B$6</f>
        <v>(INSERT VENDOR NAME HERE)</v>
      </c>
      <c r="R14" t="str">
        <f>'HAULING RATES- ODOT Locations'!$A$17</f>
        <v>District 2</v>
      </c>
      <c r="S14" t="str">
        <f>'HAULING RATES- ODOT Locations'!A22</f>
        <v>Lucas</v>
      </c>
      <c r="T14" t="str">
        <f>'HAULING RATES- ODOT Locations'!B22</f>
        <v>4080 Technology Dr. Maumee, Oh 43537</v>
      </c>
      <c r="U14" t="str">
        <f>'HAULING RATES- ODOT Locations'!C$8</f>
        <v>Stone</v>
      </c>
      <c r="V14" s="146">
        <f>'HAULING RATES- ODOT Locations'!C22</f>
        <v>0</v>
      </c>
      <c r="W14" s="131" t="str">
        <f>+'Aggregate, Plant Pick-up'!$C$6</f>
        <v>LAFARGE-MARBLEHEAD "OSBORNE-CLEVELAND"</v>
      </c>
      <c r="X14" s="131" t="str">
        <f>+Plant_Information!$B$10</f>
        <v>04105-28</v>
      </c>
      <c r="Y14" s="131" t="str">
        <f>+Plant_Information!$B$11</f>
        <v>2100 CENTRAL FURNACE ROAD</v>
      </c>
      <c r="Z14" s="131" t="str">
        <f>+Plant_Information!$B$12</f>
        <v>CLEVELAND, OH, 44115</v>
      </c>
      <c r="AA14" s="131" t="str">
        <f>+Plant_Information!$B$13</f>
        <v>12</v>
      </c>
      <c r="AB14" s="131" t="str">
        <f>+Plant_Information!$B$14</f>
        <v>CUY</v>
      </c>
      <c r="AC14" s="70"/>
      <c r="AE14" t="str">
        <f>' HAULING RATES- Other Locations'!$A$4</f>
        <v>Complete on PLANT INFORMATION TAB</v>
      </c>
      <c r="AF14" t="str">
        <f>' HAULING RATES- Other Locations'!$A$5</f>
        <v>LAFARGE-MARBLEHEAD "OSBORNE-CLEVELAND"</v>
      </c>
      <c r="AG14" t="str">
        <f>' HAULING RATES- Other Locations'!$A$6</f>
        <v>2100 CENTRAL FURNACE ROAD</v>
      </c>
      <c r="AH14" t="str">
        <f>' HAULING RATES- Other Locations'!$A$7</f>
        <v>CLEVELAND, OH, 44115</v>
      </c>
      <c r="AI14" s="16" t="str">
        <f>+Plant_Information!$B$13</f>
        <v>12</v>
      </c>
      <c r="AJ14" s="145" t="str">
        <f>+Plant_Information!$B$14</f>
        <v>CUY</v>
      </c>
      <c r="AK14" t="str">
        <f>' HAULING RATES- Other Locations'!$A$8</f>
        <v>04105-28</v>
      </c>
      <c r="AL14" t="s">
        <v>2884</v>
      </c>
      <c r="AM14" s="70"/>
      <c r="AN14" s="131">
        <f>' HAULING RATES- Other Locations'!$B$12</f>
        <v>6</v>
      </c>
      <c r="AO14" s="16" t="str">
        <f>' HAULING RATES- Other Locations'!$B$13</f>
        <v>Yes</v>
      </c>
      <c r="AP14" s="16">
        <f>' HAULING RATES- Other Locations'!$B$14</f>
        <v>18</v>
      </c>
      <c r="AQ14" s="131">
        <f>' HAULING RATES- Other Locations'!$B$16</f>
        <v>2</v>
      </c>
      <c r="AR14" s="16" t="str">
        <f>' HAULING RATES- Other Locations'!$B$17</f>
        <v>No</v>
      </c>
      <c r="AS14" s="16">
        <f>' HAULING RATES- Other Locations'!$B$18</f>
        <v>0</v>
      </c>
    </row>
    <row r="15" spans="2:50" x14ac:dyDescent="0.2">
      <c r="B15" t="str">
        <f>+'Aggregate, Plant Pick-up'!$C$5</f>
        <v>Complete on PLANT INFORMATION TAB</v>
      </c>
      <c r="C15" t="str">
        <f>+'Aggregate, Plant Pick-up'!$C$6</f>
        <v>LAFARGE-MARBLEHEAD "OSBORNE-CLEVELAND"</v>
      </c>
      <c r="D15" t="str">
        <f>+Plant_Information!$B$10</f>
        <v>04105-28</v>
      </c>
      <c r="E15" t="str">
        <f>+Plant_Information!$B$11</f>
        <v>2100 CENTRAL FURNACE ROAD</v>
      </c>
      <c r="F15" t="str">
        <f>+Plant_Information!$B$12</f>
        <v>CLEVELAND, OH, 44115</v>
      </c>
      <c r="G15" t="str">
        <f>+Plant_Information!$B$13</f>
        <v>12</v>
      </c>
      <c r="H15" s="75" t="str">
        <f>+Plant_Information!$B$14</f>
        <v>CUY</v>
      </c>
      <c r="I15" t="str">
        <f>+'Aggregate, Plant Pick-up'!C7</f>
        <v>Fine Aggregate</v>
      </c>
      <c r="J15" t="str">
        <f>+'Aggregate, Plant Pick-up'!C12</f>
        <v>Crushed Stone-Spec. 703.03</v>
      </c>
      <c r="K15" s="70">
        <f>+'Aggregate, Plant Pick-up'!D12</f>
        <v>0</v>
      </c>
      <c r="Q15" t="str">
        <f>Plant_Information!$B$6</f>
        <v>(INSERT VENDOR NAME HERE)</v>
      </c>
      <c r="R15" t="str">
        <f>'HAULING RATES- ODOT Locations'!$A$17</f>
        <v>District 2</v>
      </c>
      <c r="S15" t="str">
        <f>'HAULING RATES- ODOT Locations'!A23</f>
        <v>Ottawa</v>
      </c>
      <c r="T15" t="str">
        <f>'HAULING RATES- ODOT Locations'!B23</f>
        <v>307 S. Railroad St., Oak Harbor</v>
      </c>
      <c r="U15" t="str">
        <f>'HAULING RATES- ODOT Locations'!C$8</f>
        <v>Stone</v>
      </c>
      <c r="V15" s="146">
        <f>'HAULING RATES- ODOT Locations'!C23</f>
        <v>0</v>
      </c>
      <c r="W15" s="131" t="str">
        <f>+'Aggregate, Plant Pick-up'!$C$6</f>
        <v>LAFARGE-MARBLEHEAD "OSBORNE-CLEVELAND"</v>
      </c>
      <c r="X15" s="131" t="str">
        <f>+Plant_Information!$B$10</f>
        <v>04105-28</v>
      </c>
      <c r="Y15" s="131" t="str">
        <f>+Plant_Information!$B$11</f>
        <v>2100 CENTRAL FURNACE ROAD</v>
      </c>
      <c r="Z15" s="131" t="str">
        <f>+Plant_Information!$B$12</f>
        <v>CLEVELAND, OH, 44115</v>
      </c>
      <c r="AA15" s="131" t="str">
        <f>+Plant_Information!$B$13</f>
        <v>12</v>
      </c>
      <c r="AB15" s="131" t="str">
        <f>+Plant_Information!$B$14</f>
        <v>CUY</v>
      </c>
      <c r="AC15" s="70"/>
      <c r="AE15" t="str">
        <f>' HAULING RATES- Other Locations'!$A$4</f>
        <v>Complete on PLANT INFORMATION TAB</v>
      </c>
      <c r="AF15" t="str">
        <f>' HAULING RATES- Other Locations'!$A$5</f>
        <v>LAFARGE-MARBLEHEAD "OSBORNE-CLEVELAND"</v>
      </c>
      <c r="AG15" t="str">
        <f>' HAULING RATES- Other Locations'!$A$6</f>
        <v>2100 CENTRAL FURNACE ROAD</v>
      </c>
      <c r="AH15" t="str">
        <f>' HAULING RATES- Other Locations'!$A$7</f>
        <v>CLEVELAND, OH, 44115</v>
      </c>
      <c r="AI15" s="16" t="str">
        <f>+Plant_Information!$B$13</f>
        <v>12</v>
      </c>
      <c r="AJ15" s="145" t="str">
        <f>+Plant_Information!$B$14</f>
        <v>CUY</v>
      </c>
      <c r="AK15" t="str">
        <f>' HAULING RATES- Other Locations'!$A$8</f>
        <v>04105-28</v>
      </c>
      <c r="AL15" t="s">
        <v>2885</v>
      </c>
      <c r="AM15" s="70"/>
      <c r="AN15" s="131">
        <f>' HAULING RATES- Other Locations'!$B$20</f>
        <v>10</v>
      </c>
      <c r="AO15" s="16" t="str">
        <f>' HAULING RATES- Other Locations'!$B$21</f>
        <v>Yes</v>
      </c>
      <c r="AP15" s="16">
        <f>' HAULING RATES- Other Locations'!$B$22</f>
        <v>12</v>
      </c>
      <c r="AQ15" s="131">
        <f>' HAULING RATES- Other Locations'!$B$24</f>
        <v>2</v>
      </c>
      <c r="AR15" s="16" t="str">
        <f>' HAULING RATES- Other Locations'!$B$25</f>
        <v>No</v>
      </c>
      <c r="AS15" s="16">
        <f>' HAULING RATES- Other Locations'!$B$26</f>
        <v>0</v>
      </c>
    </row>
    <row r="16" spans="2:50" x14ac:dyDescent="0.2">
      <c r="B16" t="str">
        <f>+'Aggregate, Plant Pick-up'!$C$5</f>
        <v>Complete on PLANT INFORMATION TAB</v>
      </c>
      <c r="C16" t="str">
        <f>+'Aggregate, Plant Pick-up'!$C$6</f>
        <v>LAFARGE-MARBLEHEAD "OSBORNE-CLEVELAND"</v>
      </c>
      <c r="D16" t="str">
        <f>+Plant_Information!$B$10</f>
        <v>04105-28</v>
      </c>
      <c r="E16" t="str">
        <f>+Plant_Information!$B$11</f>
        <v>2100 CENTRAL FURNACE ROAD</v>
      </c>
      <c r="F16" t="str">
        <f>+Plant_Information!$B$12</f>
        <v>CLEVELAND, OH, 44115</v>
      </c>
      <c r="G16" t="str">
        <f>+Plant_Information!$B$13</f>
        <v>12</v>
      </c>
      <c r="H16" s="75" t="str">
        <f>+Plant_Information!$B$14</f>
        <v>CUY</v>
      </c>
      <c r="I16" t="str">
        <f>+'Aggregate, Plant Pick-up'!C7</f>
        <v>Fine Aggregate</v>
      </c>
      <c r="J16" t="str">
        <f>+'Aggregate, Plant Pick-up'!C13</f>
        <v>Crushed Slag-Spec. 703.03</v>
      </c>
      <c r="K16" s="70">
        <f>+'Aggregate, Plant Pick-up'!D13</f>
        <v>0</v>
      </c>
      <c r="Q16" t="str">
        <f>Plant_Information!$B$6</f>
        <v>(INSERT VENDOR NAME HERE)</v>
      </c>
      <c r="R16" t="str">
        <f>'HAULING RATES- ODOT Locations'!$A$17</f>
        <v>District 2</v>
      </c>
      <c r="S16" t="str">
        <f>'HAULING RATES- ODOT Locations'!A24</f>
        <v>Ottawa</v>
      </c>
      <c r="T16" t="str">
        <f>'HAULING RATES- ODOT Locations'!B24</f>
        <v>Edison Bridge Outpost, 4560 E. Bayshore Rd. 43452, Port Clinton</v>
      </c>
      <c r="U16" t="str">
        <f>'HAULING RATES- ODOT Locations'!C$8</f>
        <v>Stone</v>
      </c>
      <c r="V16" s="146">
        <f>'HAULING RATES- ODOT Locations'!C24</f>
        <v>0</v>
      </c>
      <c r="W16" s="131" t="str">
        <f>+'Aggregate, Plant Pick-up'!$C$6</f>
        <v>LAFARGE-MARBLEHEAD "OSBORNE-CLEVELAND"</v>
      </c>
      <c r="X16" s="131" t="str">
        <f>+Plant_Information!$B$10</f>
        <v>04105-28</v>
      </c>
      <c r="Y16" s="131" t="str">
        <f>+Plant_Information!$B$11</f>
        <v>2100 CENTRAL FURNACE ROAD</v>
      </c>
      <c r="Z16" s="131" t="str">
        <f>+Plant_Information!$B$12</f>
        <v>CLEVELAND, OH, 44115</v>
      </c>
      <c r="AA16" s="131" t="str">
        <f>+Plant_Information!$B$13</f>
        <v>12</v>
      </c>
      <c r="AB16" s="131" t="str">
        <f>+Plant_Information!$B$14</f>
        <v>CUY</v>
      </c>
      <c r="AC16" s="70"/>
      <c r="AE16" t="str">
        <f>' HAULING RATES- Other Locations'!$A$4</f>
        <v>Complete on PLANT INFORMATION TAB</v>
      </c>
      <c r="AF16" t="str">
        <f>' HAULING RATES- Other Locations'!$A$5</f>
        <v>LAFARGE-MARBLEHEAD "OSBORNE-CLEVELAND"</v>
      </c>
      <c r="AG16" t="str">
        <f>' HAULING RATES- Other Locations'!$A$6</f>
        <v>2100 CENTRAL FURNACE ROAD</v>
      </c>
      <c r="AH16" t="str">
        <f>' HAULING RATES- Other Locations'!$A$7</f>
        <v>CLEVELAND, OH, 44115</v>
      </c>
      <c r="AI16" s="16" t="str">
        <f>+Plant_Information!$B$13</f>
        <v>12</v>
      </c>
      <c r="AJ16" s="145" t="str">
        <f>+Plant_Information!$B$14</f>
        <v>CUY</v>
      </c>
      <c r="AK16" t="str">
        <f>' HAULING RATES- Other Locations'!$A$8</f>
        <v>04105-28</v>
      </c>
      <c r="AL16" t="s">
        <v>2886</v>
      </c>
      <c r="AM16" s="131">
        <f>' HAULING RATES- Other Locations'!$B$28</f>
        <v>4.9000000000000004</v>
      </c>
    </row>
    <row r="17" spans="2:47" x14ac:dyDescent="0.2">
      <c r="B17" t="str">
        <f>+'Aggregate, Plant Pick-up'!$C$5</f>
        <v>Complete on PLANT INFORMATION TAB</v>
      </c>
      <c r="C17" t="str">
        <f>+'Aggregate, Plant Pick-up'!$C$6</f>
        <v>LAFARGE-MARBLEHEAD "OSBORNE-CLEVELAND"</v>
      </c>
      <c r="D17" t="str">
        <f>+Plant_Information!$B$10</f>
        <v>04105-28</v>
      </c>
      <c r="E17" t="str">
        <f>+Plant_Information!$B$11</f>
        <v>2100 CENTRAL FURNACE ROAD</v>
      </c>
      <c r="F17" t="str">
        <f>+Plant_Information!$B$12</f>
        <v>CLEVELAND, OH, 44115</v>
      </c>
      <c r="G17" t="str">
        <f>+Plant_Information!$B$13</f>
        <v>12</v>
      </c>
      <c r="H17" s="75" t="str">
        <f>+Plant_Information!$B$14</f>
        <v>CUY</v>
      </c>
      <c r="I17" t="str">
        <f>+'Aggregate, Plant Pick-up'!C7</f>
        <v>Fine Aggregate</v>
      </c>
      <c r="J17" t="str">
        <f>+'Aggregate, Plant Pick-up'!C14</f>
        <v>Natural Sand-Spec. 703.05</v>
      </c>
      <c r="K17" s="70">
        <f>+'Aggregate, Plant Pick-up'!D14</f>
        <v>0</v>
      </c>
      <c r="Q17" t="str">
        <f>Plant_Information!$B$6</f>
        <v>(INSERT VENDOR NAME HERE)</v>
      </c>
      <c r="R17" t="str">
        <f>'HAULING RATES- ODOT Locations'!$A$17</f>
        <v>District 2</v>
      </c>
      <c r="S17" t="str">
        <f>'HAULING RATES- ODOT Locations'!A25</f>
        <v>Sandusky</v>
      </c>
      <c r="T17" t="str">
        <f>'HAULING RATES- ODOT Locations'!B25</f>
        <v>1891 N. State Route 53, Fremont, Ohio 43420</v>
      </c>
      <c r="U17" t="str">
        <f>'HAULING RATES- ODOT Locations'!C$8</f>
        <v>Stone</v>
      </c>
      <c r="V17" s="146">
        <f>'HAULING RATES- ODOT Locations'!C25</f>
        <v>0</v>
      </c>
      <c r="W17" s="131" t="str">
        <f>+'Aggregate, Plant Pick-up'!$C$6</f>
        <v>LAFARGE-MARBLEHEAD "OSBORNE-CLEVELAND"</v>
      </c>
      <c r="X17" s="131" t="str">
        <f>+Plant_Information!$B$10</f>
        <v>04105-28</v>
      </c>
      <c r="Y17" s="131" t="str">
        <f>+Plant_Information!$B$11</f>
        <v>2100 CENTRAL FURNACE ROAD</v>
      </c>
      <c r="Z17" s="131" t="str">
        <f>+Plant_Information!$B$12</f>
        <v>CLEVELAND, OH, 44115</v>
      </c>
      <c r="AA17" s="131" t="str">
        <f>+Plant_Information!$B$13</f>
        <v>12</v>
      </c>
      <c r="AB17" s="131" t="str">
        <f>+Plant_Information!$B$14</f>
        <v>CUY</v>
      </c>
      <c r="AC17" s="70"/>
    </row>
    <row r="18" spans="2:47" x14ac:dyDescent="0.2">
      <c r="B18" t="str">
        <f>+'Aggregate, Plant Pick-up'!$C$5</f>
        <v>Complete on PLANT INFORMATION TAB</v>
      </c>
      <c r="C18" t="str">
        <f>+'Aggregate, Plant Pick-up'!$C$6</f>
        <v>LAFARGE-MARBLEHEAD "OSBORNE-CLEVELAND"</v>
      </c>
      <c r="D18" t="str">
        <f>+Plant_Information!$B$10</f>
        <v>04105-28</v>
      </c>
      <c r="E18" t="str">
        <f>+Plant_Information!$B$11</f>
        <v>2100 CENTRAL FURNACE ROAD</v>
      </c>
      <c r="F18" t="str">
        <f>+Plant_Information!$B$12</f>
        <v>CLEVELAND, OH, 44115</v>
      </c>
      <c r="G18" t="str">
        <f>+Plant_Information!$B$13</f>
        <v>12</v>
      </c>
      <c r="H18" s="75" t="str">
        <f>+Plant_Information!$B$14</f>
        <v>CUY</v>
      </c>
      <c r="I18" t="str">
        <f>+'Aggregate, Plant Pick-up'!C7</f>
        <v>Fine Aggregate</v>
      </c>
      <c r="J18" t="str">
        <f>+'Aggregate, Plant Pick-up'!C15</f>
        <v>Crushed Stone-Spec. 703.05</v>
      </c>
      <c r="K18" s="70">
        <f>+'Aggregate, Plant Pick-up'!D15</f>
        <v>0</v>
      </c>
      <c r="Q18" t="str">
        <f>Plant_Information!$B$6</f>
        <v>(INSERT VENDOR NAME HERE)</v>
      </c>
      <c r="R18" t="str">
        <f>'HAULING RATES- ODOT Locations'!$A$17</f>
        <v>District 2</v>
      </c>
      <c r="S18" t="str">
        <f>'HAULING RATES- ODOT Locations'!A26</f>
        <v>Seneca</v>
      </c>
      <c r="T18" t="str">
        <f>'HAULING RATES- ODOT Locations'!B26</f>
        <v>3390 S. SR 100, Tiffin</v>
      </c>
      <c r="U18" t="str">
        <f>'HAULING RATES- ODOT Locations'!C$8</f>
        <v>Stone</v>
      </c>
      <c r="V18" s="146">
        <f>'HAULING RATES- ODOT Locations'!C26</f>
        <v>0</v>
      </c>
      <c r="W18" s="131" t="str">
        <f>+'Aggregate, Plant Pick-up'!$C$6</f>
        <v>LAFARGE-MARBLEHEAD "OSBORNE-CLEVELAND"</v>
      </c>
      <c r="X18" s="131" t="str">
        <f>+Plant_Information!$B$10</f>
        <v>04105-28</v>
      </c>
      <c r="Y18" s="131" t="str">
        <f>+Plant_Information!$B$11</f>
        <v>2100 CENTRAL FURNACE ROAD</v>
      </c>
      <c r="Z18" s="131" t="str">
        <f>+Plant_Information!$B$12</f>
        <v>CLEVELAND, OH, 44115</v>
      </c>
      <c r="AA18" s="131" t="str">
        <f>+Plant_Information!$B$13</f>
        <v>12</v>
      </c>
      <c r="AB18" s="131" t="str">
        <f>+Plant_Information!$B$14</f>
        <v>CUY</v>
      </c>
      <c r="AC18" s="70"/>
      <c r="AN18" s="16"/>
      <c r="AO18" s="16"/>
    </row>
    <row r="19" spans="2:47" x14ac:dyDescent="0.2">
      <c r="B19" t="str">
        <f>+'Aggregate, Plant Pick-up'!$C$5</f>
        <v>Complete on PLANT INFORMATION TAB</v>
      </c>
      <c r="C19" t="str">
        <f>+'Aggregate, Plant Pick-up'!$C$6</f>
        <v>LAFARGE-MARBLEHEAD "OSBORNE-CLEVELAND"</v>
      </c>
      <c r="D19" t="str">
        <f>+Plant_Information!$B$10</f>
        <v>04105-28</v>
      </c>
      <c r="E19" t="str">
        <f>+Plant_Information!$B$11</f>
        <v>2100 CENTRAL FURNACE ROAD</v>
      </c>
      <c r="F19" t="str">
        <f>+Plant_Information!$B$12</f>
        <v>CLEVELAND, OH, 44115</v>
      </c>
      <c r="G19" t="str">
        <f>+Plant_Information!$B$13</f>
        <v>12</v>
      </c>
      <c r="H19" s="75" t="str">
        <f>+Plant_Information!$B$14</f>
        <v>CUY</v>
      </c>
      <c r="I19" t="str">
        <f>+'Aggregate, Plant Pick-up'!C7</f>
        <v>Fine Aggregate</v>
      </c>
      <c r="J19" t="str">
        <f>+'Aggregate, Plant Pick-up'!C16</f>
        <v>Crushed Gravel-Spec. 703.05</v>
      </c>
      <c r="K19" s="70">
        <f>+'Aggregate, Plant Pick-up'!D16</f>
        <v>0</v>
      </c>
      <c r="Q19" t="str">
        <f>Plant_Information!$B$6</f>
        <v>(INSERT VENDOR NAME HERE)</v>
      </c>
      <c r="R19" t="str">
        <f>'HAULING RATES- ODOT Locations'!$A$17</f>
        <v>District 2</v>
      </c>
      <c r="S19" t="str">
        <f>'HAULING RATES- ODOT Locations'!A27</f>
        <v>Williams</v>
      </c>
      <c r="T19" t="str">
        <f>'HAULING RATES- ODOT Locations'!B27</f>
        <v>1825 Magda Dr., Montpelier</v>
      </c>
      <c r="U19" t="str">
        <f>'HAULING RATES- ODOT Locations'!C$8</f>
        <v>Stone</v>
      </c>
      <c r="V19" s="146">
        <f>'HAULING RATES- ODOT Locations'!C27</f>
        <v>0</v>
      </c>
      <c r="W19" s="131" t="str">
        <f>+'Aggregate, Plant Pick-up'!$C$6</f>
        <v>LAFARGE-MARBLEHEAD "OSBORNE-CLEVELAND"</v>
      </c>
      <c r="X19" s="131" t="str">
        <f>+Plant_Information!$B$10</f>
        <v>04105-28</v>
      </c>
      <c r="Y19" s="131" t="str">
        <f>+Plant_Information!$B$11</f>
        <v>2100 CENTRAL FURNACE ROAD</v>
      </c>
      <c r="Z19" s="131" t="str">
        <f>+Plant_Information!$B$12</f>
        <v>CLEVELAND, OH, 44115</v>
      </c>
      <c r="AA19" s="131" t="str">
        <f>+Plant_Information!$B$13</f>
        <v>12</v>
      </c>
      <c r="AB19" s="131" t="str">
        <f>+Plant_Information!$B$14</f>
        <v>CUY</v>
      </c>
      <c r="AC19" s="70"/>
    </row>
    <row r="20" spans="2:47" x14ac:dyDescent="0.2">
      <c r="B20" t="str">
        <f>+'Aggregate, Plant Pick-up'!$C$5</f>
        <v>Complete on PLANT INFORMATION TAB</v>
      </c>
      <c r="C20" t="str">
        <f>+'Aggregate, Plant Pick-up'!$C$6</f>
        <v>LAFARGE-MARBLEHEAD "OSBORNE-CLEVELAND"</v>
      </c>
      <c r="D20" t="str">
        <f>+Plant_Information!$B$10</f>
        <v>04105-28</v>
      </c>
      <c r="E20" t="str">
        <f>+Plant_Information!$B$11</f>
        <v>2100 CENTRAL FURNACE ROAD</v>
      </c>
      <c r="F20" t="str">
        <f>+Plant_Information!$B$12</f>
        <v>CLEVELAND, OH, 44115</v>
      </c>
      <c r="G20" t="str">
        <f>+Plant_Information!$B$13</f>
        <v>12</v>
      </c>
      <c r="H20" s="75" t="str">
        <f>+Plant_Information!$B$14</f>
        <v>CUY</v>
      </c>
      <c r="I20" t="str">
        <f>+'Aggregate, Plant Pick-up'!C7</f>
        <v>Fine Aggregate</v>
      </c>
      <c r="J20" t="str">
        <f>+'Aggregate, Plant Pick-up'!C17</f>
        <v>Crushed Slag-Spec. 703.05</v>
      </c>
      <c r="K20" s="70">
        <f>+'Aggregate, Plant Pick-up'!D17</f>
        <v>0</v>
      </c>
      <c r="Q20" t="str">
        <f>Plant_Information!$B$6</f>
        <v>(INSERT VENDOR NAME HERE)</v>
      </c>
      <c r="R20" t="str">
        <f>'HAULING RATES- ODOT Locations'!$A$17</f>
        <v>District 2</v>
      </c>
      <c r="S20" t="str">
        <f>'HAULING RATES- ODOT Locations'!A28</f>
        <v>Wood</v>
      </c>
      <c r="T20" t="str">
        <f>'HAULING RATES- ODOT Locations'!B28</f>
        <v>955 Mitchell Rd. Bowling Green, Oh 43402</v>
      </c>
      <c r="U20" t="str">
        <f>'HAULING RATES- ODOT Locations'!C$8</f>
        <v>Stone</v>
      </c>
      <c r="V20" s="146">
        <f>'HAULING RATES- ODOT Locations'!C28</f>
        <v>0</v>
      </c>
      <c r="W20" s="131" t="str">
        <f>+'Aggregate, Plant Pick-up'!$C$6</f>
        <v>LAFARGE-MARBLEHEAD "OSBORNE-CLEVELAND"</v>
      </c>
      <c r="X20" s="131" t="str">
        <f>+Plant_Information!$B$10</f>
        <v>04105-28</v>
      </c>
      <c r="Y20" s="131" t="str">
        <f>+Plant_Information!$B$11</f>
        <v>2100 CENTRAL FURNACE ROAD</v>
      </c>
      <c r="Z20" s="131" t="str">
        <f>+Plant_Information!$B$12</f>
        <v>CLEVELAND, OH, 44115</v>
      </c>
      <c r="AA20" s="131" t="str">
        <f>+Plant_Information!$B$13</f>
        <v>12</v>
      </c>
      <c r="AB20" s="131" t="str">
        <f>+Plant_Information!$B$14</f>
        <v>CUY</v>
      </c>
      <c r="AC20" s="70"/>
      <c r="AT20" s="69"/>
      <c r="AU20" s="69"/>
    </row>
    <row r="21" spans="2:47" x14ac:dyDescent="0.2">
      <c r="B21" t="str">
        <f>+'Aggregate, Plant Pick-up'!$C$5</f>
        <v>Complete on PLANT INFORMATION TAB</v>
      </c>
      <c r="C21" t="str">
        <f>+'Aggregate, Plant Pick-up'!$C$6</f>
        <v>LAFARGE-MARBLEHEAD "OSBORNE-CLEVELAND"</v>
      </c>
      <c r="D21" t="str">
        <f>+Plant_Information!$B$10</f>
        <v>04105-28</v>
      </c>
      <c r="E21" t="str">
        <f>+Plant_Information!$B$11</f>
        <v>2100 CENTRAL FURNACE ROAD</v>
      </c>
      <c r="F21" t="str">
        <f>+Plant_Information!$B$12</f>
        <v>CLEVELAND, OH, 44115</v>
      </c>
      <c r="G21" t="str">
        <f>+Plant_Information!$B$13</f>
        <v>12</v>
      </c>
      <c r="H21" s="75" t="str">
        <f>+Plant_Information!$B$14</f>
        <v>CUY</v>
      </c>
      <c r="I21" t="str">
        <f>+'Aggregate, Plant Pick-up'!C7</f>
        <v>Fine Aggregate</v>
      </c>
      <c r="J21" t="str">
        <f>+'Aggregate, Plant Pick-up'!C18</f>
        <v>Crushed Gravel-Spec. 703.10</v>
      </c>
      <c r="K21" s="70">
        <f>+'Aggregate, Plant Pick-up'!D18</f>
        <v>0</v>
      </c>
      <c r="Q21" s="138" t="str">
        <f>Plant_Information!$B$6</f>
        <v>(INSERT VENDOR NAME HERE)</v>
      </c>
      <c r="R21" s="138" t="str">
        <f>'HAULING RATES- ODOT Locations'!$A$17</f>
        <v>District 2</v>
      </c>
      <c r="S21" s="138" t="str">
        <f>'HAULING RATES- ODOT Locations'!A29</f>
        <v>Wood</v>
      </c>
      <c r="T21" s="138" t="str">
        <f>'HAULING RATES- ODOT Locations'!B29</f>
        <v>1218 Business Park Dr. S, North Baltimore, OH 45872</v>
      </c>
      <c r="U21" s="138" t="str">
        <f>'HAULING RATES- ODOT Locations'!C$8</f>
        <v>Stone</v>
      </c>
      <c r="V21" s="146">
        <f>'HAULING RATES- ODOT Locations'!C29</f>
        <v>0</v>
      </c>
      <c r="W21" s="141" t="str">
        <f>+'Aggregate, Plant Pick-up'!$C$6</f>
        <v>LAFARGE-MARBLEHEAD "OSBORNE-CLEVELAND"</v>
      </c>
      <c r="X21" s="141" t="str">
        <f>+Plant_Information!$B$10</f>
        <v>04105-28</v>
      </c>
      <c r="Y21" s="141" t="str">
        <f>+Plant_Information!$B$11</f>
        <v>2100 CENTRAL FURNACE ROAD</v>
      </c>
      <c r="Z21" s="141" t="str">
        <f>+Plant_Information!$B$12</f>
        <v>CLEVELAND, OH, 44115</v>
      </c>
      <c r="AA21" s="141" t="str">
        <f>+Plant_Information!$B$13</f>
        <v>12</v>
      </c>
      <c r="AB21" s="141" t="str">
        <f>+Plant_Information!$B$14</f>
        <v>CUY</v>
      </c>
      <c r="AC21" s="70"/>
    </row>
    <row r="22" spans="2:47" x14ac:dyDescent="0.2">
      <c r="B22" t="str">
        <f>+'Aggregate, Plant Pick-up'!$C$5</f>
        <v>Complete on PLANT INFORMATION TAB</v>
      </c>
      <c r="C22" t="str">
        <f>+'Aggregate, Plant Pick-up'!$C$6</f>
        <v>LAFARGE-MARBLEHEAD "OSBORNE-CLEVELAND"</v>
      </c>
      <c r="D22" t="str">
        <f>+Plant_Information!$B$10</f>
        <v>04105-28</v>
      </c>
      <c r="E22" t="str">
        <f>+Plant_Information!$B$11</f>
        <v>2100 CENTRAL FURNACE ROAD</v>
      </c>
      <c r="F22" t="str">
        <f>+Plant_Information!$B$12</f>
        <v>CLEVELAND, OH, 44115</v>
      </c>
      <c r="G22" t="str">
        <f>+Plant_Information!$B$13</f>
        <v>12</v>
      </c>
      <c r="H22" s="75" t="str">
        <f>+Plant_Information!$B$14</f>
        <v>CUY</v>
      </c>
      <c r="I22" t="str">
        <f>+'Aggregate, Plant Pick-up'!C7</f>
        <v>Fine Aggregate</v>
      </c>
      <c r="J22" t="str">
        <f>+'Aggregate, Plant Pick-up'!C19</f>
        <v>Crushed Stone-Spec. 703.10</v>
      </c>
      <c r="K22" s="70">
        <f>+'Aggregate, Plant Pick-up'!D19</f>
        <v>0</v>
      </c>
      <c r="Q22" t="str">
        <f>Plant_Information!$B$6</f>
        <v>(INSERT VENDOR NAME HERE)</v>
      </c>
      <c r="R22" t="str">
        <f>'HAULING RATES- ODOT Locations'!$A$17</f>
        <v>District 2</v>
      </c>
      <c r="S22" t="str">
        <f>'HAULING RATES- ODOT Locations'!A30</f>
        <v>Wood</v>
      </c>
      <c r="T22" t="str">
        <f>'HAULING RATES- ODOT Locations'!B30</f>
        <v>200 Lemoyne Rd., Northwood</v>
      </c>
      <c r="U22" t="str">
        <f>'HAULING RATES- ODOT Locations'!C$8</f>
        <v>Stone</v>
      </c>
      <c r="V22" s="146">
        <f>'HAULING RATES- ODOT Locations'!C30</f>
        <v>0</v>
      </c>
      <c r="W22" s="131" t="str">
        <f>+'Aggregate, Plant Pick-up'!$C$6</f>
        <v>LAFARGE-MARBLEHEAD "OSBORNE-CLEVELAND"</v>
      </c>
      <c r="X22" s="131" t="str">
        <f>+Plant_Information!$B$10</f>
        <v>04105-28</v>
      </c>
      <c r="Y22" s="131" t="str">
        <f>+Plant_Information!$B$11</f>
        <v>2100 CENTRAL FURNACE ROAD</v>
      </c>
      <c r="Z22" s="131" t="str">
        <f>+Plant_Information!$B$12</f>
        <v>CLEVELAND, OH, 44115</v>
      </c>
      <c r="AA22" s="131" t="str">
        <f>+Plant_Information!$B$13</f>
        <v>12</v>
      </c>
      <c r="AB22" s="131" t="str">
        <f>+Plant_Information!$B$14</f>
        <v>CUY</v>
      </c>
      <c r="AC22" s="70"/>
    </row>
    <row r="23" spans="2:47" x14ac:dyDescent="0.2">
      <c r="B23" t="str">
        <f>+'Aggregate, Plant Pick-up'!$C$5</f>
        <v>Complete on PLANT INFORMATION TAB</v>
      </c>
      <c r="C23" t="str">
        <f>+'Aggregate, Plant Pick-up'!$C$6</f>
        <v>LAFARGE-MARBLEHEAD "OSBORNE-CLEVELAND"</v>
      </c>
      <c r="D23" t="str">
        <f>+Plant_Information!$B$10</f>
        <v>04105-28</v>
      </c>
      <c r="E23" t="str">
        <f>+Plant_Information!$B$11</f>
        <v>2100 CENTRAL FURNACE ROAD</v>
      </c>
      <c r="F23" t="str">
        <f>+Plant_Information!$B$12</f>
        <v>CLEVELAND, OH, 44115</v>
      </c>
      <c r="G23" t="str">
        <f>+Plant_Information!$B$13</f>
        <v>12</v>
      </c>
      <c r="H23" s="75" t="str">
        <f>+Plant_Information!$B$14</f>
        <v>CUY</v>
      </c>
      <c r="I23" t="str">
        <f>+'Aggregate, Plant Pick-up'!C7</f>
        <v>Fine Aggregate</v>
      </c>
      <c r="J23" t="str">
        <f>+'Aggregate, Plant Pick-up'!C20</f>
        <v>Crushed Slag-Spec. 703.10</v>
      </c>
      <c r="K23" s="70">
        <f>+'Aggregate, Plant Pick-up'!D20</f>
        <v>0</v>
      </c>
      <c r="Q23" t="str">
        <f>Plant_Information!$B$6</f>
        <v>(INSERT VENDOR NAME HERE)</v>
      </c>
      <c r="R23" t="str">
        <f>'HAULING RATES- ODOT Locations'!$A$31</f>
        <v>District 3</v>
      </c>
      <c r="S23" t="str">
        <f>'HAULING RATES- ODOT Locations'!A34</f>
        <v>Ashland</v>
      </c>
      <c r="T23" t="str">
        <f>'HAULING RATES- ODOT Locations'!B34</f>
        <v>946 N. Clark St., Ashland, OH 44805</v>
      </c>
      <c r="U23" t="str">
        <f>'HAULING RATES- ODOT Locations'!C$8</f>
        <v>Stone</v>
      </c>
      <c r="V23" s="146">
        <f>'HAULING RATES- ODOT Locations'!C34</f>
        <v>0</v>
      </c>
      <c r="W23" s="131" t="str">
        <f>+'Aggregate, Plant Pick-up'!$C$6</f>
        <v>LAFARGE-MARBLEHEAD "OSBORNE-CLEVELAND"</v>
      </c>
      <c r="X23" s="131" t="str">
        <f>+Plant_Information!$B$10</f>
        <v>04105-28</v>
      </c>
      <c r="Y23" s="131" t="str">
        <f>+Plant_Information!$B$11</f>
        <v>2100 CENTRAL FURNACE ROAD</v>
      </c>
      <c r="Z23" s="131" t="str">
        <f>+Plant_Information!$B$12</f>
        <v>CLEVELAND, OH, 44115</v>
      </c>
      <c r="AA23" s="131" t="str">
        <f>+Plant_Information!$B$13</f>
        <v>12</v>
      </c>
      <c r="AB23" s="131" t="str">
        <f>+Plant_Information!$B$14</f>
        <v>CUY</v>
      </c>
      <c r="AC23" s="70"/>
    </row>
    <row r="24" spans="2:47" x14ac:dyDescent="0.2">
      <c r="B24" t="str">
        <f>+'Aggregate, Plant Pick-up'!$C$5</f>
        <v>Complete on PLANT INFORMATION TAB</v>
      </c>
      <c r="C24" t="str">
        <f>+'Aggregate, Plant Pick-up'!$C$6</f>
        <v>LAFARGE-MARBLEHEAD "OSBORNE-CLEVELAND"</v>
      </c>
      <c r="D24" t="str">
        <f>+Plant_Information!$B$10</f>
        <v>04105-28</v>
      </c>
      <c r="E24" t="str">
        <f>+Plant_Information!$B$11</f>
        <v>2100 CENTRAL FURNACE ROAD</v>
      </c>
      <c r="F24" t="str">
        <f>+Plant_Information!$B$12</f>
        <v>CLEVELAND, OH, 44115</v>
      </c>
      <c r="G24" t="str">
        <f>+Plant_Information!$B$13</f>
        <v>12</v>
      </c>
      <c r="H24" s="75" t="str">
        <f>+Plant_Information!$B$14</f>
        <v>CUY</v>
      </c>
      <c r="I24" s="17" t="str">
        <f>+'Aggregate, Plant Pick-up'!A21</f>
        <v>Traffic Bound &amp; Berm Aggregate (TBA) 617</v>
      </c>
      <c r="J24" t="str">
        <f>+'Aggregate, Plant Pick-up'!A23</f>
        <v>Limestone-Spec.  703.18</v>
      </c>
      <c r="K24" s="70">
        <f>+'Aggregate, Plant Pick-up'!C23</f>
        <v>0</v>
      </c>
      <c r="Q24" s="138" t="str">
        <f>Plant_Information!$B$6</f>
        <v>(INSERT VENDOR NAME HERE)</v>
      </c>
      <c r="R24" s="138" t="str">
        <f>'HAULING RATES- ODOT Locations'!$A$31</f>
        <v>District 3</v>
      </c>
      <c r="S24" s="138" t="str">
        <f>'HAULING RATES- ODOT Locations'!A35</f>
        <v>Ashland</v>
      </c>
      <c r="T24" s="138" t="str">
        <f>'HAULING RATES- ODOT Locations'!B35</f>
        <v>2595 St. Rt. 39, Perrysville, OH 44864</v>
      </c>
      <c r="U24" s="138" t="str">
        <f>'HAULING RATES- ODOT Locations'!C$8</f>
        <v>Stone</v>
      </c>
      <c r="V24" s="146">
        <f>'HAULING RATES- ODOT Locations'!C35</f>
        <v>0</v>
      </c>
      <c r="W24" s="141" t="str">
        <f>+'Aggregate, Plant Pick-up'!$C$6</f>
        <v>LAFARGE-MARBLEHEAD "OSBORNE-CLEVELAND"</v>
      </c>
      <c r="X24" s="141" t="str">
        <f>+Plant_Information!$B$10</f>
        <v>04105-28</v>
      </c>
      <c r="Y24" s="141" t="str">
        <f>+Plant_Information!$B$11</f>
        <v>2100 CENTRAL FURNACE ROAD</v>
      </c>
      <c r="Z24" s="141" t="str">
        <f>+Plant_Information!$B$12</f>
        <v>CLEVELAND, OH, 44115</v>
      </c>
      <c r="AA24" s="141" t="str">
        <f>+Plant_Information!$B$13</f>
        <v>12</v>
      </c>
      <c r="AB24" s="141" t="str">
        <f>+Plant_Information!$B$14</f>
        <v>CUY</v>
      </c>
      <c r="AC24" s="70"/>
    </row>
    <row r="25" spans="2:47" x14ac:dyDescent="0.2">
      <c r="B25" t="str">
        <f>+'Aggregate, Plant Pick-up'!$C$5</f>
        <v>Complete on PLANT INFORMATION TAB</v>
      </c>
      <c r="C25" t="str">
        <f>+'Aggregate, Plant Pick-up'!$C$6</f>
        <v>LAFARGE-MARBLEHEAD "OSBORNE-CLEVELAND"</v>
      </c>
      <c r="D25" t="str">
        <f>+Plant_Information!$B$10</f>
        <v>04105-28</v>
      </c>
      <c r="E25" t="str">
        <f>+Plant_Information!$B$11</f>
        <v>2100 CENTRAL FURNACE ROAD</v>
      </c>
      <c r="F25" t="str">
        <f>+Plant_Information!$B$12</f>
        <v>CLEVELAND, OH, 44115</v>
      </c>
      <c r="G25" t="str">
        <f>+Plant_Information!$B$13</f>
        <v>12</v>
      </c>
      <c r="H25" s="75" t="str">
        <f>+Plant_Information!$B$14</f>
        <v>CUY</v>
      </c>
      <c r="I25" t="str">
        <f>+'Aggregate, Plant Pick-up'!A21</f>
        <v>Traffic Bound &amp; Berm Aggregate (TBA) 617</v>
      </c>
      <c r="J25" t="str">
        <f>+'Aggregate, Plant Pick-up'!A24</f>
        <v>Slag-Spec. 703.18</v>
      </c>
      <c r="K25" s="70">
        <f>+'Aggregate, Plant Pick-up'!C24</f>
        <v>0</v>
      </c>
      <c r="Q25" t="str">
        <f>Plant_Information!$B$6</f>
        <v>(INSERT VENDOR NAME HERE)</v>
      </c>
      <c r="R25" t="str">
        <f>'HAULING RATES- ODOT Locations'!$A$31</f>
        <v>District 3</v>
      </c>
      <c r="S25" t="str">
        <f>'HAULING RATES- ODOT Locations'!A36</f>
        <v>Crawford</v>
      </c>
      <c r="T25" t="str">
        <f>'HAULING RATES- ODOT Locations'!B36</f>
        <v>275 Crossroads Blvd., Bucyrus OH 44820</v>
      </c>
      <c r="U25" t="str">
        <f>'HAULING RATES- ODOT Locations'!C$8</f>
        <v>Stone</v>
      </c>
      <c r="V25" s="146">
        <f>'HAULING RATES- ODOT Locations'!C36</f>
        <v>0</v>
      </c>
      <c r="W25" s="131" t="str">
        <f>+'Aggregate, Plant Pick-up'!$C$6</f>
        <v>LAFARGE-MARBLEHEAD "OSBORNE-CLEVELAND"</v>
      </c>
      <c r="X25" s="131" t="str">
        <f>+Plant_Information!$B$10</f>
        <v>04105-28</v>
      </c>
      <c r="Y25" s="131" t="str">
        <f>+Plant_Information!$B$11</f>
        <v>2100 CENTRAL FURNACE ROAD</v>
      </c>
      <c r="Z25" s="131" t="str">
        <f>+Plant_Information!$B$12</f>
        <v>CLEVELAND, OH, 44115</v>
      </c>
      <c r="AA25" s="131" t="str">
        <f>+Plant_Information!$B$13</f>
        <v>12</v>
      </c>
      <c r="AB25" s="131" t="str">
        <f>+Plant_Information!$B$14</f>
        <v>CUY</v>
      </c>
      <c r="AC25" s="70"/>
    </row>
    <row r="26" spans="2:47" x14ac:dyDescent="0.2">
      <c r="B26" t="str">
        <f>+'Aggregate, Plant Pick-up'!$C$5</f>
        <v>Complete on PLANT INFORMATION TAB</v>
      </c>
      <c r="C26" t="str">
        <f>+'Aggregate, Plant Pick-up'!$C$6</f>
        <v>LAFARGE-MARBLEHEAD "OSBORNE-CLEVELAND"</v>
      </c>
      <c r="D26" t="str">
        <f>+Plant_Information!$B$10</f>
        <v>04105-28</v>
      </c>
      <c r="E26" t="str">
        <f>+Plant_Information!$B$11</f>
        <v>2100 CENTRAL FURNACE ROAD</v>
      </c>
      <c r="F26" t="str">
        <f>+Plant_Information!$B$12</f>
        <v>CLEVELAND, OH, 44115</v>
      </c>
      <c r="G26" t="str">
        <f>+Plant_Information!$B$13</f>
        <v>12</v>
      </c>
      <c r="H26" s="75" t="str">
        <f>+Plant_Information!$B$14</f>
        <v>CUY</v>
      </c>
      <c r="I26" t="str">
        <f>+'Aggregate, Plant Pick-up'!A21</f>
        <v>Traffic Bound &amp; Berm Aggregate (TBA) 617</v>
      </c>
      <c r="J26" t="str">
        <f>+'Aggregate, Plant Pick-up'!A25</f>
        <v>Gravel-Spec. 703.18</v>
      </c>
      <c r="K26" s="70">
        <f>+'Aggregate, Plant Pick-up'!C25</f>
        <v>0</v>
      </c>
      <c r="Q26" t="str">
        <f>Plant_Information!$B$6</f>
        <v>(INSERT VENDOR NAME HERE)</v>
      </c>
      <c r="R26" t="str">
        <f>'HAULING RATES- ODOT Locations'!$A$31</f>
        <v>District 3</v>
      </c>
      <c r="S26" t="str">
        <f>'HAULING RATES- ODOT Locations'!A37</f>
        <v>Erie</v>
      </c>
      <c r="T26" t="str">
        <f>'HAULING RATES- ODOT Locations'!B37</f>
        <v>165 South Huron St. , Milan, OH 44846</v>
      </c>
      <c r="U26" t="str">
        <f>'HAULING RATES- ODOT Locations'!C$8</f>
        <v>Stone</v>
      </c>
      <c r="V26" s="146">
        <f>'HAULING RATES- ODOT Locations'!C37</f>
        <v>0</v>
      </c>
      <c r="W26" s="131" t="str">
        <f>+'Aggregate, Plant Pick-up'!$C$6</f>
        <v>LAFARGE-MARBLEHEAD "OSBORNE-CLEVELAND"</v>
      </c>
      <c r="X26" s="131" t="str">
        <f>+Plant_Information!$B$10</f>
        <v>04105-28</v>
      </c>
      <c r="Y26" s="131" t="str">
        <f>+Plant_Information!$B$11</f>
        <v>2100 CENTRAL FURNACE ROAD</v>
      </c>
      <c r="Z26" s="131" t="str">
        <f>+Plant_Information!$B$12</f>
        <v>CLEVELAND, OH, 44115</v>
      </c>
      <c r="AA26" s="131" t="str">
        <f>+Plant_Information!$B$13</f>
        <v>12</v>
      </c>
      <c r="AB26" s="131" t="str">
        <f>+Plant_Information!$B$14</f>
        <v>CUY</v>
      </c>
      <c r="AC26" s="70"/>
    </row>
    <row r="27" spans="2:47" x14ac:dyDescent="0.2">
      <c r="B27" t="str">
        <f>+'Aggregate, Plant Pick-up'!$C$5</f>
        <v>Complete on PLANT INFORMATION TAB</v>
      </c>
      <c r="C27" t="str">
        <f>+'Aggregate, Plant Pick-up'!$C$6</f>
        <v>LAFARGE-MARBLEHEAD "OSBORNE-CLEVELAND"</v>
      </c>
      <c r="D27" t="str">
        <f>+Plant_Information!$B$10</f>
        <v>04105-28</v>
      </c>
      <c r="E27" t="str">
        <f>+Plant_Information!$B$11</f>
        <v>2100 CENTRAL FURNACE ROAD</v>
      </c>
      <c r="F27" t="str">
        <f>+Plant_Information!$B$12</f>
        <v>CLEVELAND, OH, 44115</v>
      </c>
      <c r="G27" t="str">
        <f>+Plant_Information!$B$13</f>
        <v>12</v>
      </c>
      <c r="H27" s="75" t="str">
        <f>+Plant_Information!$B$14</f>
        <v>CUY</v>
      </c>
      <c r="I27" t="str">
        <f>+'Aggregate, Plant Pick-up'!A26</f>
        <v>Stabilized Crushed Aggregate (411)</v>
      </c>
      <c r="J27" t="str">
        <f>+'Aggregate, Plant Pick-up'!A28</f>
        <v>Limestone-Spec.  703.18</v>
      </c>
      <c r="K27" s="70">
        <f>+'Aggregate, Plant Pick-up'!C28</f>
        <v>15.85</v>
      </c>
      <c r="Q27" t="str">
        <f>Plant_Information!$B$6</f>
        <v>(INSERT VENDOR NAME HERE)</v>
      </c>
      <c r="R27" t="str">
        <f>'HAULING RATES- ODOT Locations'!$A$31</f>
        <v>District 3</v>
      </c>
      <c r="S27" t="str">
        <f>'HAULING RATES- ODOT Locations'!A38</f>
        <v>Erie</v>
      </c>
      <c r="T27" t="str">
        <f>'HAULING RATES- ODOT Locations'!B38</f>
        <v>14420 Kneisel Rd., Vermilion, OH 44089</v>
      </c>
      <c r="U27" t="str">
        <f>'HAULING RATES- ODOT Locations'!C$8</f>
        <v>Stone</v>
      </c>
      <c r="V27" s="146">
        <f>'HAULING RATES- ODOT Locations'!C38</f>
        <v>0</v>
      </c>
      <c r="W27" s="131" t="str">
        <f>+'Aggregate, Plant Pick-up'!$C$6</f>
        <v>LAFARGE-MARBLEHEAD "OSBORNE-CLEVELAND"</v>
      </c>
      <c r="X27" s="131" t="str">
        <f>+Plant_Information!$B$10</f>
        <v>04105-28</v>
      </c>
      <c r="Y27" s="131" t="str">
        <f>+Plant_Information!$B$11</f>
        <v>2100 CENTRAL FURNACE ROAD</v>
      </c>
      <c r="Z27" s="131" t="str">
        <f>+Plant_Information!$B$12</f>
        <v>CLEVELAND, OH, 44115</v>
      </c>
      <c r="AA27" s="131" t="str">
        <f>+Plant_Information!$B$13</f>
        <v>12</v>
      </c>
      <c r="AB27" s="131" t="str">
        <f>+Plant_Information!$B$14</f>
        <v>CUY</v>
      </c>
      <c r="AC27" s="70"/>
      <c r="AT27" s="69"/>
      <c r="AU27" s="69"/>
    </row>
    <row r="28" spans="2:47" x14ac:dyDescent="0.2">
      <c r="B28" t="str">
        <f>+'Aggregate, Plant Pick-up'!$C$5</f>
        <v>Complete on PLANT INFORMATION TAB</v>
      </c>
      <c r="C28" t="str">
        <f>+'Aggregate, Plant Pick-up'!$C$6</f>
        <v>LAFARGE-MARBLEHEAD "OSBORNE-CLEVELAND"</v>
      </c>
      <c r="D28" t="str">
        <f>+Plant_Information!$B$10</f>
        <v>04105-28</v>
      </c>
      <c r="E28" t="str">
        <f>+Plant_Information!$B$11</f>
        <v>2100 CENTRAL FURNACE ROAD</v>
      </c>
      <c r="F28" t="str">
        <f>+Plant_Information!$B$12</f>
        <v>CLEVELAND, OH, 44115</v>
      </c>
      <c r="G28" t="str">
        <f>+Plant_Information!$B$13</f>
        <v>12</v>
      </c>
      <c r="H28" s="75" t="str">
        <f>+Plant_Information!$B$14</f>
        <v>CUY</v>
      </c>
      <c r="I28" t="str">
        <f>+'Aggregate, Plant Pick-up'!A26</f>
        <v>Stabilized Crushed Aggregate (411)</v>
      </c>
      <c r="J28" t="str">
        <f>+'Aggregate, Plant Pick-up'!A29</f>
        <v>Slag-Spec. 703.18</v>
      </c>
      <c r="K28" s="70">
        <f>+'Aggregate, Plant Pick-up'!C29</f>
        <v>0</v>
      </c>
      <c r="Q28" t="str">
        <f>Plant_Information!$B$6</f>
        <v>(INSERT VENDOR NAME HERE)</v>
      </c>
      <c r="R28" t="str">
        <f>'HAULING RATES- ODOT Locations'!$A$31</f>
        <v>District 3</v>
      </c>
      <c r="S28" t="str">
        <f>'HAULING RATES- ODOT Locations'!A39</f>
        <v>Huron</v>
      </c>
      <c r="T28" t="str">
        <f>'HAULING RATES- ODOT Locations'!B39</f>
        <v>760 Dublin Rd., Norwalk, OH 44857</v>
      </c>
      <c r="U28" t="str">
        <f>'HAULING RATES- ODOT Locations'!C$8</f>
        <v>Stone</v>
      </c>
      <c r="V28" s="146">
        <f>'HAULING RATES- ODOT Locations'!C39</f>
        <v>0</v>
      </c>
      <c r="W28" s="131" t="str">
        <f>+'Aggregate, Plant Pick-up'!$C$6</f>
        <v>LAFARGE-MARBLEHEAD "OSBORNE-CLEVELAND"</v>
      </c>
      <c r="X28" s="131" t="str">
        <f>+Plant_Information!$B$10</f>
        <v>04105-28</v>
      </c>
      <c r="Y28" s="131" t="str">
        <f>+Plant_Information!$B$11</f>
        <v>2100 CENTRAL FURNACE ROAD</v>
      </c>
      <c r="Z28" s="131" t="str">
        <f>+Plant_Information!$B$12</f>
        <v>CLEVELAND, OH, 44115</v>
      </c>
      <c r="AA28" s="131" t="str">
        <f>+Plant_Information!$B$13</f>
        <v>12</v>
      </c>
      <c r="AB28" s="131" t="str">
        <f>+Plant_Information!$B$14</f>
        <v>CUY</v>
      </c>
      <c r="AC28" s="70"/>
    </row>
    <row r="29" spans="2:47" x14ac:dyDescent="0.2">
      <c r="B29" t="str">
        <f>+'Aggregate, Plant Pick-up'!$C$5</f>
        <v>Complete on PLANT INFORMATION TAB</v>
      </c>
      <c r="C29" t="str">
        <f>+'Aggregate, Plant Pick-up'!$C$6</f>
        <v>LAFARGE-MARBLEHEAD "OSBORNE-CLEVELAND"</v>
      </c>
      <c r="D29" t="str">
        <f>+Plant_Information!$B$10</f>
        <v>04105-28</v>
      </c>
      <c r="E29" t="str">
        <f>+Plant_Information!$B$11</f>
        <v>2100 CENTRAL FURNACE ROAD</v>
      </c>
      <c r="F29" t="str">
        <f>+Plant_Information!$B$12</f>
        <v>CLEVELAND, OH, 44115</v>
      </c>
      <c r="G29" t="str">
        <f>+Plant_Information!$B$13</f>
        <v>12</v>
      </c>
      <c r="H29" s="75" t="str">
        <f>+Plant_Information!$B$14</f>
        <v>CUY</v>
      </c>
      <c r="I29" s="17" t="str">
        <f>+'Aggregate, Plant Pick-up'!A26</f>
        <v>Stabilized Crushed Aggregate (411)</v>
      </c>
      <c r="J29" t="str">
        <f>+'Aggregate, Plant Pick-up'!A30</f>
        <v>Gravel-Spec. 703.18</v>
      </c>
      <c r="K29" s="70">
        <f>+'Aggregate, Plant Pick-up'!C30</f>
        <v>0</v>
      </c>
      <c r="Q29" s="138" t="str">
        <f>Plant_Information!$B$6</f>
        <v>(INSERT VENDOR NAME HERE)</v>
      </c>
      <c r="R29" s="138" t="str">
        <f>'HAULING RATES- ODOT Locations'!$A$31</f>
        <v>District 3</v>
      </c>
      <c r="S29" s="138" t="str">
        <f>'HAULING RATES- ODOT Locations'!A40</f>
        <v>Huron</v>
      </c>
      <c r="T29" s="138" t="str">
        <f>'HAULING RATES- ODOT Locations'!B40</f>
        <v>3000 Sandusky St. (route 61) Plymouth, Ohio 44865</v>
      </c>
      <c r="U29" s="138" t="str">
        <f>'HAULING RATES- ODOT Locations'!C$8</f>
        <v>Stone</v>
      </c>
      <c r="V29" s="146">
        <f>'HAULING RATES- ODOT Locations'!C40</f>
        <v>0</v>
      </c>
      <c r="W29" s="141" t="str">
        <f>+'Aggregate, Plant Pick-up'!$C$6</f>
        <v>LAFARGE-MARBLEHEAD "OSBORNE-CLEVELAND"</v>
      </c>
      <c r="X29" s="141" t="str">
        <f>+Plant_Information!$B$10</f>
        <v>04105-28</v>
      </c>
      <c r="Y29" s="141" t="str">
        <f>+Plant_Information!$B$11</f>
        <v>2100 CENTRAL FURNACE ROAD</v>
      </c>
      <c r="Z29" s="141" t="str">
        <f>+Plant_Information!$B$12</f>
        <v>CLEVELAND, OH, 44115</v>
      </c>
      <c r="AA29" s="141" t="str">
        <f>+Plant_Information!$B$13</f>
        <v>12</v>
      </c>
      <c r="AB29" s="141" t="str">
        <f>+Plant_Information!$B$14</f>
        <v>CUY</v>
      </c>
      <c r="AC29" s="70"/>
    </row>
    <row r="30" spans="2:47" x14ac:dyDescent="0.2">
      <c r="B30" t="str">
        <f>+'Aggregate, Plant Pick-up'!$C$5</f>
        <v>Complete on PLANT INFORMATION TAB</v>
      </c>
      <c r="C30" t="str">
        <f>+'Aggregate, Plant Pick-up'!$C$6</f>
        <v>LAFARGE-MARBLEHEAD "OSBORNE-CLEVELAND"</v>
      </c>
      <c r="D30" t="str">
        <f>+Plant_Information!$B$10</f>
        <v>04105-28</v>
      </c>
      <c r="E30" t="str">
        <f>+Plant_Information!$B$11</f>
        <v>2100 CENTRAL FURNACE ROAD</v>
      </c>
      <c r="F30" t="str">
        <f>+Plant_Information!$B$12</f>
        <v>CLEVELAND, OH, 44115</v>
      </c>
      <c r="G30" t="str">
        <f>+Plant_Information!$B$13</f>
        <v>12</v>
      </c>
      <c r="H30" s="75" t="str">
        <f>+Plant_Information!$B$14</f>
        <v>CUY</v>
      </c>
      <c r="I30" t="str">
        <f>+'Aggregate, Plant Pick-up'!A31</f>
        <v>Embankment Materials, Type C</v>
      </c>
      <c r="J30" t="str">
        <f>+'Aggregate, Plant Pick-up'!A33</f>
        <v>Limestone-Spec.  703.16</v>
      </c>
      <c r="K30" s="70">
        <f>+'Aggregate, Plant Pick-up'!C33</f>
        <v>17.5</v>
      </c>
      <c r="Q30" t="str">
        <f>Plant_Information!$B$6</f>
        <v>(INSERT VENDOR NAME HERE)</v>
      </c>
      <c r="R30" t="str">
        <f>'HAULING RATES- ODOT Locations'!$A$31</f>
        <v>District 3</v>
      </c>
      <c r="S30" t="str">
        <f>'HAULING RATES- ODOT Locations'!A41</f>
        <v>Lorain</v>
      </c>
      <c r="T30" t="str">
        <f>'HAULING RATES- ODOT Locations'!B41</f>
        <v>405 West Lorain St. &amp; S.R. 511, Oberlin, OH 44074</v>
      </c>
      <c r="U30" t="str">
        <f>'HAULING RATES- ODOT Locations'!C$8</f>
        <v>Stone</v>
      </c>
      <c r="V30" s="146">
        <f>'HAULING RATES- ODOT Locations'!C41</f>
        <v>0</v>
      </c>
      <c r="W30" s="131" t="str">
        <f>+'Aggregate, Plant Pick-up'!$C$6</f>
        <v>LAFARGE-MARBLEHEAD "OSBORNE-CLEVELAND"</v>
      </c>
      <c r="X30" s="131" t="str">
        <f>+Plant_Information!$B$10</f>
        <v>04105-28</v>
      </c>
      <c r="Y30" s="131" t="str">
        <f>+Plant_Information!$B$11</f>
        <v>2100 CENTRAL FURNACE ROAD</v>
      </c>
      <c r="Z30" s="131" t="str">
        <f>+Plant_Information!$B$12</f>
        <v>CLEVELAND, OH, 44115</v>
      </c>
      <c r="AA30" s="131" t="str">
        <f>+Plant_Information!$B$13</f>
        <v>12</v>
      </c>
      <c r="AB30" s="131" t="str">
        <f>+Plant_Information!$B$14</f>
        <v>CUY</v>
      </c>
      <c r="AC30" s="70"/>
    </row>
    <row r="31" spans="2:47" x14ac:dyDescent="0.2">
      <c r="B31" t="str">
        <f>+'Aggregate, Plant Pick-up'!$C$5</f>
        <v>Complete on PLANT INFORMATION TAB</v>
      </c>
      <c r="C31" t="str">
        <f>+'Aggregate, Plant Pick-up'!$C$6</f>
        <v>LAFARGE-MARBLEHEAD "OSBORNE-CLEVELAND"</v>
      </c>
      <c r="D31" t="str">
        <f>+Plant_Information!$B$10</f>
        <v>04105-28</v>
      </c>
      <c r="E31" t="str">
        <f>+Plant_Information!$B$11</f>
        <v>2100 CENTRAL FURNACE ROAD</v>
      </c>
      <c r="F31" t="str">
        <f>+Plant_Information!$B$12</f>
        <v>CLEVELAND, OH, 44115</v>
      </c>
      <c r="G31" t="str">
        <f>+Plant_Information!$B$13</f>
        <v>12</v>
      </c>
      <c r="H31" s="75" t="str">
        <f>+Plant_Information!$B$14</f>
        <v>CUY</v>
      </c>
      <c r="I31" t="str">
        <f>+'Aggregate, Plant Pick-up'!A31</f>
        <v>Embankment Materials, Type C</v>
      </c>
      <c r="J31" t="str">
        <f>+'Aggregate, Plant Pick-up'!A34</f>
        <v>Slag-Spec. 703.16</v>
      </c>
      <c r="K31" s="70">
        <f>+'Aggregate, Plant Pick-up'!C34</f>
        <v>0</v>
      </c>
      <c r="Q31" t="str">
        <f>Plant_Information!$B$6</f>
        <v>(INSERT VENDOR NAME HERE)</v>
      </c>
      <c r="R31" t="str">
        <f>'HAULING RATES- ODOT Locations'!$A$31</f>
        <v>District 3</v>
      </c>
      <c r="S31" t="str">
        <f>'HAULING RATES- ODOT Locations'!A42</f>
        <v>Lorain</v>
      </c>
      <c r="T31" t="str">
        <f>'HAULING RATES- ODOT Locations'!B42</f>
        <v>1749 Moore Rd., Avon, OH 44011</v>
      </c>
      <c r="U31" t="str">
        <f>'HAULING RATES- ODOT Locations'!C$8</f>
        <v>Stone</v>
      </c>
      <c r="V31" s="146">
        <f>'HAULING RATES- ODOT Locations'!C42</f>
        <v>0</v>
      </c>
      <c r="W31" s="131" t="str">
        <f>+'Aggregate, Plant Pick-up'!$C$6</f>
        <v>LAFARGE-MARBLEHEAD "OSBORNE-CLEVELAND"</v>
      </c>
      <c r="X31" s="131" t="str">
        <f>+Plant_Information!$B$10</f>
        <v>04105-28</v>
      </c>
      <c r="Y31" s="131" t="str">
        <f>+Plant_Information!$B$11</f>
        <v>2100 CENTRAL FURNACE ROAD</v>
      </c>
      <c r="Z31" s="131" t="str">
        <f>+Plant_Information!$B$12</f>
        <v>CLEVELAND, OH, 44115</v>
      </c>
      <c r="AA31" s="131" t="str">
        <f>+Plant_Information!$B$13</f>
        <v>12</v>
      </c>
      <c r="AB31" s="131" t="str">
        <f>+Plant_Information!$B$14</f>
        <v>CUY</v>
      </c>
      <c r="AC31" s="70"/>
    </row>
    <row r="32" spans="2:47" x14ac:dyDescent="0.2">
      <c r="B32" t="str">
        <f>+'Aggregate, Plant Pick-up'!$C$5</f>
        <v>Complete on PLANT INFORMATION TAB</v>
      </c>
      <c r="C32" t="str">
        <f>+'Aggregate, Plant Pick-up'!$C$6</f>
        <v>LAFARGE-MARBLEHEAD "OSBORNE-CLEVELAND"</v>
      </c>
      <c r="D32" t="str">
        <f>+Plant_Information!$B$10</f>
        <v>04105-28</v>
      </c>
      <c r="E32" t="str">
        <f>+Plant_Information!$B$11</f>
        <v>2100 CENTRAL FURNACE ROAD</v>
      </c>
      <c r="F32" t="str">
        <f>+Plant_Information!$B$12</f>
        <v>CLEVELAND, OH, 44115</v>
      </c>
      <c r="G32" t="str">
        <f>+Plant_Information!$B$13</f>
        <v>12</v>
      </c>
      <c r="H32" s="75" t="str">
        <f>+Plant_Information!$B$14</f>
        <v>CUY</v>
      </c>
      <c r="I32" t="str">
        <f>+'Aggregate, Plant Pick-up'!A31</f>
        <v>Embankment Materials, Type C</v>
      </c>
      <c r="J32" t="str">
        <f>+'Aggregate, Plant Pick-up'!A35</f>
        <v>Gravel-Spec. 703.16</v>
      </c>
      <c r="K32" s="70">
        <f>+'Aggregate, Plant Pick-up'!C35</f>
        <v>0</v>
      </c>
      <c r="Q32" s="138" t="str">
        <f>Plant_Information!$B$6</f>
        <v>(INSERT VENDOR NAME HERE)</v>
      </c>
      <c r="R32" s="138" t="str">
        <f>'HAULING RATES- ODOT Locations'!$A$31</f>
        <v>District 3</v>
      </c>
      <c r="S32" s="138" t="str">
        <f>'HAULING RATES- ODOT Locations'!A43</f>
        <v>Lorain</v>
      </c>
      <c r="T32" s="138" t="str">
        <f>'HAULING RATES- ODOT Locations'!B43</f>
        <v>1654 South Avon Belden Road, Grafton, Ohio 44044</v>
      </c>
      <c r="U32" s="138" t="str">
        <f>'HAULING RATES- ODOT Locations'!C$8</f>
        <v>Stone</v>
      </c>
      <c r="V32" s="146">
        <f>'HAULING RATES- ODOT Locations'!C43</f>
        <v>0</v>
      </c>
      <c r="W32" s="141" t="str">
        <f>+'Aggregate, Plant Pick-up'!$C$6</f>
        <v>LAFARGE-MARBLEHEAD "OSBORNE-CLEVELAND"</v>
      </c>
      <c r="X32" s="141" t="str">
        <f>+Plant_Information!$B$10</f>
        <v>04105-28</v>
      </c>
      <c r="Y32" s="141" t="str">
        <f>+Plant_Information!$B$11</f>
        <v>2100 CENTRAL FURNACE ROAD</v>
      </c>
      <c r="Z32" s="141" t="str">
        <f>+Plant_Information!$B$12</f>
        <v>CLEVELAND, OH, 44115</v>
      </c>
      <c r="AA32" s="141" t="str">
        <f>+Plant_Information!$B$13</f>
        <v>12</v>
      </c>
      <c r="AB32" s="141" t="str">
        <f>+Plant_Information!$B$14</f>
        <v>CUY</v>
      </c>
      <c r="AC32" s="70"/>
    </row>
    <row r="33" spans="2:46" x14ac:dyDescent="0.2">
      <c r="B33" t="str">
        <f>+'Aggregate, Plant Pick-up'!$C$5</f>
        <v>Complete on PLANT INFORMATION TAB</v>
      </c>
      <c r="C33" t="str">
        <f>+'Aggregate, Plant Pick-up'!$C$6</f>
        <v>LAFARGE-MARBLEHEAD "OSBORNE-CLEVELAND"</v>
      </c>
      <c r="D33" t="str">
        <f>+Plant_Information!$B$10</f>
        <v>04105-28</v>
      </c>
      <c r="E33" t="str">
        <f>+Plant_Information!$B$11</f>
        <v>2100 CENTRAL FURNACE ROAD</v>
      </c>
      <c r="F33" t="str">
        <f>+Plant_Information!$B$12</f>
        <v>CLEVELAND, OH, 44115</v>
      </c>
      <c r="G33" t="str">
        <f>+Plant_Information!$B$13</f>
        <v>12</v>
      </c>
      <c r="H33" s="75" t="str">
        <f>+Plant_Information!$B$14</f>
        <v>CUY</v>
      </c>
      <c r="I33" t="str">
        <f>+'Aggregate, Plant Pick-up'!A36</f>
        <v>Snow and Ice Control Materials (Grits) Pricing F.O.B. At Vendor's Plant</v>
      </c>
      <c r="J33" t="str">
        <f>+'Aggregate, Plant Pick-up'!A38</f>
        <v>Type A</v>
      </c>
      <c r="K33" s="70">
        <f>+'Aggregate, Plant Pick-up'!D38</f>
        <v>0</v>
      </c>
      <c r="Q33" t="str">
        <f>Plant_Information!$B$6</f>
        <v>(INSERT VENDOR NAME HERE)</v>
      </c>
      <c r="R33" t="str">
        <f>'HAULING RATES- ODOT Locations'!$A$31</f>
        <v>District 3</v>
      </c>
      <c r="S33" t="str">
        <f>'HAULING RATES- ODOT Locations'!A44</f>
        <v>Medina</v>
      </c>
      <c r="T33" t="str">
        <f>'HAULING RATES- ODOT Locations'!B44</f>
        <v>3220 Medina Rd. &amp; St. Rt. 18, Medina, OH 44256</v>
      </c>
      <c r="U33" t="str">
        <f>'HAULING RATES- ODOT Locations'!C$8</f>
        <v>Stone</v>
      </c>
      <c r="V33" s="146">
        <f>'HAULING RATES- ODOT Locations'!C44</f>
        <v>0</v>
      </c>
      <c r="W33" s="131" t="str">
        <f>+'Aggregate, Plant Pick-up'!$C$6</f>
        <v>LAFARGE-MARBLEHEAD "OSBORNE-CLEVELAND"</v>
      </c>
      <c r="X33" s="131" t="str">
        <f>+Plant_Information!$B$10</f>
        <v>04105-28</v>
      </c>
      <c r="Y33" s="131" t="str">
        <f>+Plant_Information!$B$11</f>
        <v>2100 CENTRAL FURNACE ROAD</v>
      </c>
      <c r="Z33" s="131" t="str">
        <f>+Plant_Information!$B$12</f>
        <v>CLEVELAND, OH, 44115</v>
      </c>
      <c r="AA33" s="131" t="str">
        <f>+Plant_Information!$B$13</f>
        <v>12</v>
      </c>
      <c r="AB33" s="131" t="str">
        <f>+Plant_Information!$B$14</f>
        <v>CUY</v>
      </c>
      <c r="AC33" s="70"/>
    </row>
    <row r="34" spans="2:46" x14ac:dyDescent="0.2">
      <c r="B34" t="str">
        <f>+'Aggregate, Plant Pick-up'!$C$5</f>
        <v>Complete on PLANT INFORMATION TAB</v>
      </c>
      <c r="C34" t="str">
        <f>+'Aggregate, Plant Pick-up'!$C$6</f>
        <v>LAFARGE-MARBLEHEAD "OSBORNE-CLEVELAND"</v>
      </c>
      <c r="D34" t="str">
        <f>+Plant_Information!$B$10</f>
        <v>04105-28</v>
      </c>
      <c r="E34" t="str">
        <f>+Plant_Information!$B$11</f>
        <v>2100 CENTRAL FURNACE ROAD</v>
      </c>
      <c r="F34" t="str">
        <f>+Plant_Information!$B$12</f>
        <v>CLEVELAND, OH, 44115</v>
      </c>
      <c r="G34" t="str">
        <f>+Plant_Information!$B$13</f>
        <v>12</v>
      </c>
      <c r="H34" s="75" t="str">
        <f>+Plant_Information!$B$14</f>
        <v>CUY</v>
      </c>
      <c r="I34" s="17" t="str">
        <f>+'Aggregate, Plant Pick-up'!A36</f>
        <v>Snow and Ice Control Materials (Grits) Pricing F.O.B. At Vendor's Plant</v>
      </c>
      <c r="J34" t="str">
        <f>+'Aggregate, Plant Pick-up'!A39</f>
        <v>Type B</v>
      </c>
      <c r="K34" s="70">
        <f>+'Aggregate, Plant Pick-up'!D39</f>
        <v>0</v>
      </c>
      <c r="Q34" t="str">
        <f>Plant_Information!$B$6</f>
        <v>(INSERT VENDOR NAME HERE)</v>
      </c>
      <c r="R34" t="str">
        <f>'HAULING RATES- ODOT Locations'!$A$31</f>
        <v>District 3</v>
      </c>
      <c r="S34" t="str">
        <f>'HAULING RATES- ODOT Locations'!A45</f>
        <v>Medina</v>
      </c>
      <c r="T34" t="str">
        <f>'HAULING RATES- ODOT Locations'!B45</f>
        <v>10224 Avon Lake Rd, Burbank, OH 44214</v>
      </c>
      <c r="U34" t="str">
        <f>'HAULING RATES- ODOT Locations'!C$8</f>
        <v>Stone</v>
      </c>
      <c r="V34" s="146">
        <f>'HAULING RATES- ODOT Locations'!C45</f>
        <v>0</v>
      </c>
      <c r="W34" s="131" t="str">
        <f>+'Aggregate, Plant Pick-up'!$C$6</f>
        <v>LAFARGE-MARBLEHEAD "OSBORNE-CLEVELAND"</v>
      </c>
      <c r="X34" s="131" t="str">
        <f>+Plant_Information!$B$10</f>
        <v>04105-28</v>
      </c>
      <c r="Y34" s="131" t="str">
        <f>+Plant_Information!$B$11</f>
        <v>2100 CENTRAL FURNACE ROAD</v>
      </c>
      <c r="Z34" s="131" t="str">
        <f>+Plant_Information!$B$12</f>
        <v>CLEVELAND, OH, 44115</v>
      </c>
      <c r="AA34" s="131" t="str">
        <f>+Plant_Information!$B$13</f>
        <v>12</v>
      </c>
      <c r="AB34" s="131" t="str">
        <f>+Plant_Information!$B$14</f>
        <v>CUY</v>
      </c>
      <c r="AC34" s="70"/>
    </row>
    <row r="35" spans="2:46" x14ac:dyDescent="0.2">
      <c r="B35" t="str">
        <f>+'Aggregate, Plant Pick-up'!$C$5</f>
        <v>Complete on PLANT INFORMATION TAB</v>
      </c>
      <c r="C35" t="str">
        <f>+'Aggregate, Plant Pick-up'!$C$6</f>
        <v>LAFARGE-MARBLEHEAD "OSBORNE-CLEVELAND"</v>
      </c>
      <c r="D35" t="str">
        <f>+Plant_Information!$B$10</f>
        <v>04105-28</v>
      </c>
      <c r="E35" t="str">
        <f>+Plant_Information!$B$11</f>
        <v>2100 CENTRAL FURNACE ROAD</v>
      </c>
      <c r="F35" t="str">
        <f>+Plant_Information!$B$12</f>
        <v>CLEVELAND, OH, 44115</v>
      </c>
      <c r="G35" t="str">
        <f>+Plant_Information!$B$13</f>
        <v>12</v>
      </c>
      <c r="H35" s="75" t="str">
        <f>+Plant_Information!$B$14</f>
        <v>CUY</v>
      </c>
      <c r="I35" t="str">
        <f>+'Aggregate, Plant Pick-up'!A36</f>
        <v>Snow and Ice Control Materials (Grits) Pricing F.O.B. At Vendor's Plant</v>
      </c>
      <c r="J35" t="str">
        <f>+'Aggregate, Plant Pick-up'!A40</f>
        <v>Type C</v>
      </c>
      <c r="K35" s="70">
        <f>+'Aggregate, Plant Pick-up'!D40</f>
        <v>0</v>
      </c>
      <c r="Q35" s="138" t="str">
        <f>Plant_Information!$B$6</f>
        <v>(INSERT VENDOR NAME HERE)</v>
      </c>
      <c r="R35" s="138" t="str">
        <f>'HAULING RATES- ODOT Locations'!$A$31</f>
        <v>District 3</v>
      </c>
      <c r="S35" s="138" t="str">
        <f>'HAULING RATES- ODOT Locations'!A46</f>
        <v>Medina</v>
      </c>
      <c r="T35" s="138" t="str">
        <f>'HAULING RATES- ODOT Locations'!B46</f>
        <v>4993 Atlantic Drive Seville Ohio, 44273</v>
      </c>
      <c r="U35" s="138" t="str">
        <f>'HAULING RATES- ODOT Locations'!C$8</f>
        <v>Stone</v>
      </c>
      <c r="V35" s="146">
        <f>'HAULING RATES- ODOT Locations'!C46</f>
        <v>0</v>
      </c>
      <c r="W35" s="141" t="str">
        <f>+'Aggregate, Plant Pick-up'!$C$6</f>
        <v>LAFARGE-MARBLEHEAD "OSBORNE-CLEVELAND"</v>
      </c>
      <c r="X35" s="141" t="str">
        <f>+Plant_Information!$B$10</f>
        <v>04105-28</v>
      </c>
      <c r="Y35" s="141" t="str">
        <f>+Plant_Information!$B$11</f>
        <v>2100 CENTRAL FURNACE ROAD</v>
      </c>
      <c r="Z35" s="141" t="str">
        <f>+Plant_Information!$B$12</f>
        <v>CLEVELAND, OH, 44115</v>
      </c>
      <c r="AA35" s="141" t="str">
        <f>+Plant_Information!$B$13</f>
        <v>12</v>
      </c>
      <c r="AB35" s="141" t="str">
        <f>+Plant_Information!$B$14</f>
        <v>CUY</v>
      </c>
      <c r="AC35" s="70"/>
    </row>
    <row r="36" spans="2:46" x14ac:dyDescent="0.2">
      <c r="B36" t="str">
        <f>+'Aggregate, Plant Pick-up'!$C$5</f>
        <v>Complete on PLANT INFORMATION TAB</v>
      </c>
      <c r="C36" t="str">
        <f>+'Aggregate, Plant Pick-up'!$C$6</f>
        <v>LAFARGE-MARBLEHEAD "OSBORNE-CLEVELAND"</v>
      </c>
      <c r="D36" t="str">
        <f>+Plant_Information!$B$10</f>
        <v>04105-28</v>
      </c>
      <c r="E36" t="str">
        <f>+Plant_Information!$B$11</f>
        <v>2100 CENTRAL FURNACE ROAD</v>
      </c>
      <c r="F36" t="str">
        <f>+Plant_Information!$B$12</f>
        <v>CLEVELAND, OH, 44115</v>
      </c>
      <c r="G36" t="str">
        <f>+Plant_Information!$B$13</f>
        <v>12</v>
      </c>
      <c r="H36" s="75" t="str">
        <f>+Plant_Information!$B$14</f>
        <v>CUY</v>
      </c>
      <c r="I36" t="str">
        <f>+'Aggregate, Plant Pick-up'!A36</f>
        <v>Snow and Ice Control Materials (Grits) Pricing F.O.B. At Vendor's Plant</v>
      </c>
      <c r="J36" t="str">
        <f>+'Aggregate, Plant Pick-up'!A41</f>
        <v>Type D</v>
      </c>
      <c r="K36" s="70">
        <f>+'Aggregate, Plant Pick-up'!D41</f>
        <v>0</v>
      </c>
      <c r="Q36" t="str">
        <f>Plant_Information!$B$6</f>
        <v>(INSERT VENDOR NAME HERE)</v>
      </c>
      <c r="R36" t="str">
        <f>'HAULING RATES- ODOT Locations'!$A$31</f>
        <v>District 3</v>
      </c>
      <c r="S36" t="str">
        <f>'HAULING RATES- ODOT Locations'!A47</f>
        <v>Richland</v>
      </c>
      <c r="T36" t="str">
        <f>'HAULING RATES- ODOT Locations'!B47</f>
        <v>1256 West 4th St., Mansfield, OH 44906</v>
      </c>
      <c r="U36" t="str">
        <f>'HAULING RATES- ODOT Locations'!C$8</f>
        <v>Stone</v>
      </c>
      <c r="V36" s="146">
        <f>'HAULING RATES- ODOT Locations'!C47</f>
        <v>0</v>
      </c>
      <c r="W36" s="131" t="str">
        <f>+'Aggregate, Plant Pick-up'!$C$6</f>
        <v>LAFARGE-MARBLEHEAD "OSBORNE-CLEVELAND"</v>
      </c>
      <c r="X36" s="131" t="str">
        <f>+Plant_Information!$B$10</f>
        <v>04105-28</v>
      </c>
      <c r="Y36" s="131" t="str">
        <f>+Plant_Information!$B$11</f>
        <v>2100 CENTRAL FURNACE ROAD</v>
      </c>
      <c r="Z36" s="131" t="str">
        <f>+Plant_Information!$B$12</f>
        <v>CLEVELAND, OH, 44115</v>
      </c>
      <c r="AA36" s="131" t="str">
        <f>+Plant_Information!$B$13</f>
        <v>12</v>
      </c>
      <c r="AB36" s="131" t="str">
        <f>+Plant_Information!$B$14</f>
        <v>CUY</v>
      </c>
      <c r="AC36" s="70"/>
    </row>
    <row r="37" spans="2:46" x14ac:dyDescent="0.2">
      <c r="B37" t="str">
        <f>+'Aggregate, Plant Pick-up'!$C$5</f>
        <v>Complete on PLANT INFORMATION TAB</v>
      </c>
      <c r="C37" t="str">
        <f>+'Aggregate, Plant Pick-up'!$C$6</f>
        <v>LAFARGE-MARBLEHEAD "OSBORNE-CLEVELAND"</v>
      </c>
      <c r="D37" t="str">
        <f>+Plant_Information!$B$10</f>
        <v>04105-28</v>
      </c>
      <c r="E37" t="str">
        <f>+Plant_Information!$B$11</f>
        <v>2100 CENTRAL FURNACE ROAD</v>
      </c>
      <c r="F37" t="str">
        <f>+Plant_Information!$B$12</f>
        <v>CLEVELAND, OH, 44115</v>
      </c>
      <c r="G37" t="str">
        <f>+Plant_Information!$B$13</f>
        <v>12</v>
      </c>
      <c r="H37" s="75" t="str">
        <f>+Plant_Information!$B$14</f>
        <v>CUY</v>
      </c>
      <c r="I37" t="str">
        <f>+'Aggregate, Plant Pick-up'!H$7</f>
        <v>Stone</v>
      </c>
      <c r="J37" t="str">
        <f>CONCATENATE('Aggregate, Plant Pick-up'!F9," ( ",'Aggregate, Plant Pick-up'!G9," )")</f>
        <v>No. 1 ( 703.02 )</v>
      </c>
      <c r="K37" s="70">
        <f>+'Aggregate, Plant Pick-up'!H9</f>
        <v>19.55</v>
      </c>
      <c r="Q37" t="str">
        <f>Plant_Information!$B$6</f>
        <v>(INSERT VENDOR NAME HERE)</v>
      </c>
      <c r="R37" t="str">
        <f>'HAULING RATES- ODOT Locations'!$A$31</f>
        <v>District 3</v>
      </c>
      <c r="S37" t="str">
        <f>'HAULING RATES- ODOT Locations'!A48</f>
        <v>Richland</v>
      </c>
      <c r="T37" t="str">
        <f>'HAULING RATES- ODOT Locations'!B48</f>
        <v>Lexington OP, 808 Kochheiser Rd., Bellville,, OH 44813</v>
      </c>
      <c r="U37" t="str">
        <f>'HAULING RATES- ODOT Locations'!C$8</f>
        <v>Stone</v>
      </c>
      <c r="V37" s="146">
        <f>'HAULING RATES- ODOT Locations'!C48</f>
        <v>0</v>
      </c>
      <c r="W37" s="131" t="str">
        <f>+'Aggregate, Plant Pick-up'!$C$6</f>
        <v>LAFARGE-MARBLEHEAD "OSBORNE-CLEVELAND"</v>
      </c>
      <c r="X37" s="131" t="str">
        <f>+Plant_Information!$B$10</f>
        <v>04105-28</v>
      </c>
      <c r="Y37" s="131" t="str">
        <f>+Plant_Information!$B$11</f>
        <v>2100 CENTRAL FURNACE ROAD</v>
      </c>
      <c r="Z37" s="131" t="str">
        <f>+Plant_Information!$B$12</f>
        <v>CLEVELAND, OH, 44115</v>
      </c>
      <c r="AA37" s="131" t="str">
        <f>+Plant_Information!$B$13</f>
        <v>12</v>
      </c>
      <c r="AB37" s="131" t="str">
        <f>+Plant_Information!$B$14</f>
        <v>CUY</v>
      </c>
      <c r="AC37" s="70"/>
    </row>
    <row r="38" spans="2:46" x14ac:dyDescent="0.2">
      <c r="B38" t="str">
        <f>+'Aggregate, Plant Pick-up'!$C$5</f>
        <v>Complete on PLANT INFORMATION TAB</v>
      </c>
      <c r="C38" t="str">
        <f>+'Aggregate, Plant Pick-up'!$C$6</f>
        <v>LAFARGE-MARBLEHEAD "OSBORNE-CLEVELAND"</v>
      </c>
      <c r="D38" t="str">
        <f>+Plant_Information!$B$10</f>
        <v>04105-28</v>
      </c>
      <c r="E38" t="str">
        <f>+Plant_Information!$B$11</f>
        <v>2100 CENTRAL FURNACE ROAD</v>
      </c>
      <c r="F38" t="str">
        <f>+Plant_Information!$B$12</f>
        <v>CLEVELAND, OH, 44115</v>
      </c>
      <c r="G38" t="str">
        <f>+Plant_Information!$B$13</f>
        <v>12</v>
      </c>
      <c r="H38" s="75" t="str">
        <f>+Plant_Information!$B$14</f>
        <v>CUY</v>
      </c>
      <c r="I38" t="str">
        <f>+'Aggregate, Plant Pick-up'!H$7</f>
        <v>Stone</v>
      </c>
      <c r="J38" t="str">
        <f>CONCATENATE('Aggregate, Plant Pick-up'!F9," ( ",'Aggregate, Plant Pick-up'!G10," )")</f>
        <v>No. 1 ( 703.04 )</v>
      </c>
      <c r="K38" s="70">
        <f>+'Aggregate, Plant Pick-up'!H10</f>
        <v>0</v>
      </c>
      <c r="Q38" t="str">
        <f>Plant_Information!$B$6</f>
        <v>(INSERT VENDOR NAME HERE)</v>
      </c>
      <c r="R38" t="str">
        <f>'HAULING RATES- ODOT Locations'!$A$31</f>
        <v>District 3</v>
      </c>
      <c r="S38" t="str">
        <f>'HAULING RATES- ODOT Locations'!A49</f>
        <v>Wayne</v>
      </c>
      <c r="T38" t="str">
        <f>'HAULING RATES- ODOT Locations'!B49</f>
        <v>1661 Geyers Chapel Rd., Wooster, OH 44691</v>
      </c>
      <c r="U38" t="str">
        <f>'HAULING RATES- ODOT Locations'!C$8</f>
        <v>Stone</v>
      </c>
      <c r="V38" s="146">
        <f>'HAULING RATES- ODOT Locations'!C49</f>
        <v>0</v>
      </c>
      <c r="W38" s="131" t="str">
        <f>+'Aggregate, Plant Pick-up'!$C$6</f>
        <v>LAFARGE-MARBLEHEAD "OSBORNE-CLEVELAND"</v>
      </c>
      <c r="X38" s="131" t="str">
        <f>+Plant_Information!$B$10</f>
        <v>04105-28</v>
      </c>
      <c r="Y38" s="131" t="str">
        <f>+Plant_Information!$B$11</f>
        <v>2100 CENTRAL FURNACE ROAD</v>
      </c>
      <c r="Z38" s="131" t="str">
        <f>+Plant_Information!$B$12</f>
        <v>CLEVELAND, OH, 44115</v>
      </c>
      <c r="AA38" s="131" t="str">
        <f>+Plant_Information!$B$13</f>
        <v>12</v>
      </c>
      <c r="AB38" s="131" t="str">
        <f>+Plant_Information!$B$14</f>
        <v>CUY</v>
      </c>
      <c r="AC38" s="70"/>
    </row>
    <row r="39" spans="2:46" x14ac:dyDescent="0.2">
      <c r="B39" t="str">
        <f>+'Aggregate, Plant Pick-up'!$C$5</f>
        <v>Complete on PLANT INFORMATION TAB</v>
      </c>
      <c r="C39" t="str">
        <f>+'Aggregate, Plant Pick-up'!$C$6</f>
        <v>LAFARGE-MARBLEHEAD "OSBORNE-CLEVELAND"</v>
      </c>
      <c r="D39" t="str">
        <f>+Plant_Information!$B$10</f>
        <v>04105-28</v>
      </c>
      <c r="E39" t="str">
        <f>+Plant_Information!$B$11</f>
        <v>2100 CENTRAL FURNACE ROAD</v>
      </c>
      <c r="F39" t="str">
        <f>+Plant_Information!$B$12</f>
        <v>CLEVELAND, OH, 44115</v>
      </c>
      <c r="G39" t="str">
        <f>+Plant_Information!$B$13</f>
        <v>12</v>
      </c>
      <c r="H39" s="75" t="str">
        <f>+Plant_Information!$B$14</f>
        <v>CUY</v>
      </c>
      <c r="I39" t="str">
        <f>+'Aggregate, Plant Pick-up'!H$7</f>
        <v>Stone</v>
      </c>
      <c r="J39" t="str">
        <f>CONCATENATE('Aggregate, Plant Pick-up'!F9," ( ",'Aggregate, Plant Pick-up'!G11," )")</f>
        <v>No. 1 ( 703.05 )</v>
      </c>
      <c r="K39" s="70">
        <f>+'Aggregate, Plant Pick-up'!H11</f>
        <v>0</v>
      </c>
      <c r="Q39" t="str">
        <f>Plant_Information!$B$6</f>
        <v>(INSERT VENDOR NAME HERE)</v>
      </c>
      <c r="R39" t="str">
        <f>'HAULING RATES- ODOT Locations'!$A$50</f>
        <v>District 4</v>
      </c>
      <c r="S39" t="str">
        <f>'HAULING RATES- ODOT Locations'!A53</f>
        <v>Ashtabula</v>
      </c>
      <c r="T39" t="str">
        <f>'HAULING RATES- ODOT Locations'!B53</f>
        <v>492 Seven Hills Rd., Ashtabula, OH  44004</v>
      </c>
      <c r="U39" t="str">
        <f>'HAULING RATES- ODOT Locations'!C$8</f>
        <v>Stone</v>
      </c>
      <c r="V39" s="146">
        <f>'HAULING RATES- ODOT Locations'!C53</f>
        <v>0</v>
      </c>
      <c r="W39" s="131" t="str">
        <f>+'Aggregate, Plant Pick-up'!$C$6</f>
        <v>LAFARGE-MARBLEHEAD "OSBORNE-CLEVELAND"</v>
      </c>
      <c r="X39" s="131" t="str">
        <f>+Plant_Information!$B$10</f>
        <v>04105-28</v>
      </c>
      <c r="Y39" s="131" t="str">
        <f>+Plant_Information!$B$11</f>
        <v>2100 CENTRAL FURNACE ROAD</v>
      </c>
      <c r="Z39" s="131" t="str">
        <f>+Plant_Information!$B$12</f>
        <v>CLEVELAND, OH, 44115</v>
      </c>
      <c r="AA39" s="131" t="str">
        <f>+Plant_Information!$B$13</f>
        <v>12</v>
      </c>
      <c r="AB39" s="131" t="str">
        <f>+Plant_Information!$B$14</f>
        <v>CUY</v>
      </c>
      <c r="AC39" s="70"/>
    </row>
    <row r="40" spans="2:46" x14ac:dyDescent="0.2">
      <c r="B40" t="str">
        <f>+'Aggregate, Plant Pick-up'!$C$5</f>
        <v>Complete on PLANT INFORMATION TAB</v>
      </c>
      <c r="C40" t="str">
        <f>+'Aggregate, Plant Pick-up'!$C$6</f>
        <v>LAFARGE-MARBLEHEAD "OSBORNE-CLEVELAND"</v>
      </c>
      <c r="D40" t="str">
        <f>+Plant_Information!$B$10</f>
        <v>04105-28</v>
      </c>
      <c r="E40" t="str">
        <f>+Plant_Information!$B$11</f>
        <v>2100 CENTRAL FURNACE ROAD</v>
      </c>
      <c r="F40" t="str">
        <f>+Plant_Information!$B$12</f>
        <v>CLEVELAND, OH, 44115</v>
      </c>
      <c r="G40" t="str">
        <f>+Plant_Information!$B$13</f>
        <v>12</v>
      </c>
      <c r="H40" s="75" t="str">
        <f>+Plant_Information!$B$14</f>
        <v>CUY</v>
      </c>
      <c r="I40" t="str">
        <f>+'Aggregate, Plant Pick-up'!H$7</f>
        <v>Stone</v>
      </c>
      <c r="J40" t="str">
        <f>CONCATENATE('Aggregate, Plant Pick-up'!F12," ( ",'Aggregate, Plant Pick-up'!G12," )")</f>
        <v>No. 2 ( 703.02 )</v>
      </c>
      <c r="K40" s="70">
        <f>+'Aggregate, Plant Pick-up'!H12</f>
        <v>0</v>
      </c>
      <c r="Q40" t="str">
        <f>Plant_Information!$B$6</f>
        <v>(INSERT VENDOR NAME HERE)</v>
      </c>
      <c r="R40" t="str">
        <f>'HAULING RATES- ODOT Locations'!$A$50</f>
        <v>District 4</v>
      </c>
      <c r="S40" t="str">
        <f>'HAULING RATES- ODOT Locations'!A54</f>
        <v>Ashtabula</v>
      </c>
      <c r="T40" t="str">
        <f>'HAULING RATES- ODOT Locations'!B54</f>
        <v>879 SR 7, Conneaut, OH  44030</v>
      </c>
      <c r="U40" t="str">
        <f>'HAULING RATES- ODOT Locations'!C$8</f>
        <v>Stone</v>
      </c>
      <c r="V40" s="146">
        <f>'HAULING RATES- ODOT Locations'!C54</f>
        <v>0</v>
      </c>
      <c r="W40" s="131" t="str">
        <f>+'Aggregate, Plant Pick-up'!$C$6</f>
        <v>LAFARGE-MARBLEHEAD "OSBORNE-CLEVELAND"</v>
      </c>
      <c r="X40" s="131" t="str">
        <f>+Plant_Information!$B$10</f>
        <v>04105-28</v>
      </c>
      <c r="Y40" s="131" t="str">
        <f>+Plant_Information!$B$11</f>
        <v>2100 CENTRAL FURNACE ROAD</v>
      </c>
      <c r="Z40" s="131" t="str">
        <f>+Plant_Information!$B$12</f>
        <v>CLEVELAND, OH, 44115</v>
      </c>
      <c r="AA40" s="131" t="str">
        <f>+Plant_Information!$B$13</f>
        <v>12</v>
      </c>
      <c r="AB40" s="131" t="str">
        <f>+Plant_Information!$B$14</f>
        <v>CUY</v>
      </c>
      <c r="AC40" s="70"/>
    </row>
    <row r="41" spans="2:46" x14ac:dyDescent="0.2">
      <c r="B41" t="str">
        <f>+'Aggregate, Plant Pick-up'!$C$5</f>
        <v>Complete on PLANT INFORMATION TAB</v>
      </c>
      <c r="C41" t="str">
        <f>+'Aggregate, Plant Pick-up'!$C$6</f>
        <v>LAFARGE-MARBLEHEAD "OSBORNE-CLEVELAND"</v>
      </c>
      <c r="D41" t="str">
        <f>+Plant_Information!$B$10</f>
        <v>04105-28</v>
      </c>
      <c r="E41" t="str">
        <f>+Plant_Information!$B$11</f>
        <v>2100 CENTRAL FURNACE ROAD</v>
      </c>
      <c r="F41" t="str">
        <f>+Plant_Information!$B$12</f>
        <v>CLEVELAND, OH, 44115</v>
      </c>
      <c r="G41" t="str">
        <f>+Plant_Information!$B$13</f>
        <v>12</v>
      </c>
      <c r="H41" s="75" t="str">
        <f>+Plant_Information!$B$14</f>
        <v>CUY</v>
      </c>
      <c r="I41" t="str">
        <f>+'Aggregate, Plant Pick-up'!H$7</f>
        <v>Stone</v>
      </c>
      <c r="J41" t="str">
        <f>CONCATENATE('Aggregate, Plant Pick-up'!F12," ( ",'Aggregate, Plant Pick-up'!G13," )")</f>
        <v>No. 2 ( 703.04 )</v>
      </c>
      <c r="K41" s="70">
        <f>+'Aggregate, Plant Pick-up'!H13</f>
        <v>19.55</v>
      </c>
      <c r="Q41" t="str">
        <f>Plant_Information!$B$6</f>
        <v>(INSERT VENDOR NAME HERE)</v>
      </c>
      <c r="R41" t="str">
        <f>'HAULING RATES- ODOT Locations'!$A$50</f>
        <v>District 4</v>
      </c>
      <c r="S41" t="str">
        <f>'HAULING RATES- ODOT Locations'!A55</f>
        <v>Ashtabula</v>
      </c>
      <c r="T41" t="str">
        <f>'HAULING RATES- ODOT Locations'!B55</f>
        <v>2325 SR 193, Dorset, OH   44032</v>
      </c>
      <c r="U41" t="str">
        <f>'HAULING RATES- ODOT Locations'!C$8</f>
        <v>Stone</v>
      </c>
      <c r="V41" s="146">
        <f>'HAULING RATES- ODOT Locations'!C55</f>
        <v>0</v>
      </c>
      <c r="W41" s="131" t="str">
        <f>+'Aggregate, Plant Pick-up'!$C$6</f>
        <v>LAFARGE-MARBLEHEAD "OSBORNE-CLEVELAND"</v>
      </c>
      <c r="X41" s="131" t="str">
        <f>+Plant_Information!$B$10</f>
        <v>04105-28</v>
      </c>
      <c r="Y41" s="131" t="str">
        <f>+Plant_Information!$B$11</f>
        <v>2100 CENTRAL FURNACE ROAD</v>
      </c>
      <c r="Z41" s="131" t="str">
        <f>+Plant_Information!$B$12</f>
        <v>CLEVELAND, OH, 44115</v>
      </c>
      <c r="AA41" s="131" t="str">
        <f>+Plant_Information!$B$13</f>
        <v>12</v>
      </c>
      <c r="AB41" s="131" t="str">
        <f>+Plant_Information!$B$14</f>
        <v>CUY</v>
      </c>
      <c r="AC41" s="70"/>
    </row>
    <row r="42" spans="2:46" x14ac:dyDescent="0.2">
      <c r="B42" t="str">
        <f>+'Aggregate, Plant Pick-up'!$C$5</f>
        <v>Complete on PLANT INFORMATION TAB</v>
      </c>
      <c r="C42" t="str">
        <f>+'Aggregate, Plant Pick-up'!$C$6</f>
        <v>LAFARGE-MARBLEHEAD "OSBORNE-CLEVELAND"</v>
      </c>
      <c r="D42" t="str">
        <f>+Plant_Information!$B$10</f>
        <v>04105-28</v>
      </c>
      <c r="E42" t="str">
        <f>+Plant_Information!$B$11</f>
        <v>2100 CENTRAL FURNACE ROAD</v>
      </c>
      <c r="F42" t="str">
        <f>+Plant_Information!$B$12</f>
        <v>CLEVELAND, OH, 44115</v>
      </c>
      <c r="G42" t="str">
        <f>+Plant_Information!$B$13</f>
        <v>12</v>
      </c>
      <c r="H42" s="75" t="str">
        <f>+Plant_Information!$B$14</f>
        <v>CUY</v>
      </c>
      <c r="I42" t="str">
        <f>+'Aggregate, Plant Pick-up'!H$7</f>
        <v>Stone</v>
      </c>
      <c r="J42" t="str">
        <f>CONCATENATE('Aggregate, Plant Pick-up'!F12," ( ",'Aggregate, Plant Pick-up'!G14," )")</f>
        <v>No. 2 ( 703.05 )</v>
      </c>
      <c r="K42" s="70">
        <f>+'Aggregate, Plant Pick-up'!H14</f>
        <v>0</v>
      </c>
      <c r="Q42" t="str">
        <f>Plant_Information!$B$6</f>
        <v>(INSERT VENDOR NAME HERE)</v>
      </c>
      <c r="R42" t="str">
        <f>'HAULING RATES- ODOT Locations'!$A$50</f>
        <v>District 4</v>
      </c>
      <c r="S42" t="str">
        <f>'HAULING RATES- ODOT Locations'!A56</f>
        <v>Ashtabula</v>
      </c>
      <c r="T42" t="str">
        <f>'HAULING RATES- ODOT Locations'!B56</f>
        <v>Harpersfield OP, 5420 SR 534, Geneva, OH    44041</v>
      </c>
      <c r="U42" t="str">
        <f>'HAULING RATES- ODOT Locations'!C$8</f>
        <v>Stone</v>
      </c>
      <c r="V42" s="146">
        <f>'HAULING RATES- ODOT Locations'!C56</f>
        <v>0</v>
      </c>
      <c r="W42" s="131" t="str">
        <f>+'Aggregate, Plant Pick-up'!$C$6</f>
        <v>LAFARGE-MARBLEHEAD "OSBORNE-CLEVELAND"</v>
      </c>
      <c r="X42" s="131" t="str">
        <f>+Plant_Information!$B$10</f>
        <v>04105-28</v>
      </c>
      <c r="Y42" s="131" t="str">
        <f>+Plant_Information!$B$11</f>
        <v>2100 CENTRAL FURNACE ROAD</v>
      </c>
      <c r="Z42" s="131" t="str">
        <f>+Plant_Information!$B$12</f>
        <v>CLEVELAND, OH, 44115</v>
      </c>
      <c r="AA42" s="131" t="str">
        <f>+Plant_Information!$B$13</f>
        <v>12</v>
      </c>
      <c r="AB42" s="131" t="str">
        <f>+Plant_Information!$B$14</f>
        <v>CUY</v>
      </c>
      <c r="AC42" s="70"/>
      <c r="AT42" s="69"/>
    </row>
    <row r="43" spans="2:46" x14ac:dyDescent="0.2">
      <c r="B43" t="str">
        <f>+'Aggregate, Plant Pick-up'!$C$5</f>
        <v>Complete on PLANT INFORMATION TAB</v>
      </c>
      <c r="C43" t="str">
        <f>+'Aggregate, Plant Pick-up'!$C$6</f>
        <v>LAFARGE-MARBLEHEAD "OSBORNE-CLEVELAND"</v>
      </c>
      <c r="D43" t="str">
        <f>+Plant_Information!$B$10</f>
        <v>04105-28</v>
      </c>
      <c r="E43" t="str">
        <f>+Plant_Information!$B$11</f>
        <v>2100 CENTRAL FURNACE ROAD</v>
      </c>
      <c r="F43" t="str">
        <f>+Plant_Information!$B$12</f>
        <v>CLEVELAND, OH, 44115</v>
      </c>
      <c r="G43" t="str">
        <f>+Plant_Information!$B$13</f>
        <v>12</v>
      </c>
      <c r="H43" s="75" t="str">
        <f>+Plant_Information!$B$14</f>
        <v>CUY</v>
      </c>
      <c r="I43" t="str">
        <f>+'Aggregate, Plant Pick-up'!H$7</f>
        <v>Stone</v>
      </c>
      <c r="J43" t="str">
        <f>CONCATENATE('Aggregate, Plant Pick-up'!F15," ( ",'Aggregate, Plant Pick-up'!G15," )")</f>
        <v>No. 3 ( 703.02 )</v>
      </c>
      <c r="K43" s="70">
        <f>+'Aggregate, Plant Pick-up'!H15</f>
        <v>0</v>
      </c>
      <c r="Q43" t="str">
        <f>Plant_Information!$B$6</f>
        <v>(INSERT VENDOR NAME HERE)</v>
      </c>
      <c r="R43" t="str">
        <f>'HAULING RATES- ODOT Locations'!$A$50</f>
        <v>District 4</v>
      </c>
      <c r="S43" t="str">
        <f>'HAULING RATES- ODOT Locations'!A57</f>
        <v>Ashtabula</v>
      </c>
      <c r="T43" t="str">
        <f>'HAULING RATES- ODOT Locations'!B57</f>
        <v>5451 SR 45, Rome, OH   44085</v>
      </c>
      <c r="U43" t="str">
        <f>'HAULING RATES- ODOT Locations'!C$8</f>
        <v>Stone</v>
      </c>
      <c r="V43" s="146">
        <f>'HAULING RATES- ODOT Locations'!C57</f>
        <v>0</v>
      </c>
      <c r="W43" s="131" t="str">
        <f>+'Aggregate, Plant Pick-up'!$C$6</f>
        <v>LAFARGE-MARBLEHEAD "OSBORNE-CLEVELAND"</v>
      </c>
      <c r="X43" s="131" t="str">
        <f>+Plant_Information!$B$10</f>
        <v>04105-28</v>
      </c>
      <c r="Y43" s="131" t="str">
        <f>+Plant_Information!$B$11</f>
        <v>2100 CENTRAL FURNACE ROAD</v>
      </c>
      <c r="Z43" s="131" t="str">
        <f>+Plant_Information!$B$12</f>
        <v>CLEVELAND, OH, 44115</v>
      </c>
      <c r="AA43" s="131" t="str">
        <f>+Plant_Information!$B$13</f>
        <v>12</v>
      </c>
      <c r="AB43" s="131" t="str">
        <f>+Plant_Information!$B$14</f>
        <v>CUY</v>
      </c>
      <c r="AC43" s="70"/>
    </row>
    <row r="44" spans="2:46" x14ac:dyDescent="0.2">
      <c r="B44" t="str">
        <f>+'Aggregate, Plant Pick-up'!$C$5</f>
        <v>Complete on PLANT INFORMATION TAB</v>
      </c>
      <c r="C44" t="str">
        <f>+'Aggregate, Plant Pick-up'!$C$6</f>
        <v>LAFARGE-MARBLEHEAD "OSBORNE-CLEVELAND"</v>
      </c>
      <c r="D44" t="str">
        <f>+Plant_Information!$B$10</f>
        <v>04105-28</v>
      </c>
      <c r="E44" t="str">
        <f>+Plant_Information!$B$11</f>
        <v>2100 CENTRAL FURNACE ROAD</v>
      </c>
      <c r="F44" t="str">
        <f>+Plant_Information!$B$12</f>
        <v>CLEVELAND, OH, 44115</v>
      </c>
      <c r="G44" t="str">
        <f>+Plant_Information!$B$13</f>
        <v>12</v>
      </c>
      <c r="H44" s="75" t="str">
        <f>+Plant_Information!$B$14</f>
        <v>CUY</v>
      </c>
      <c r="I44" t="str">
        <f>+'Aggregate, Plant Pick-up'!H$7</f>
        <v>Stone</v>
      </c>
      <c r="J44" t="str">
        <f>CONCATENATE('Aggregate, Plant Pick-up'!F15," ( ",'Aggregate, Plant Pick-up'!G16," )")</f>
        <v>No. 3 ( 703.04 )</v>
      </c>
      <c r="K44" s="70">
        <f>+'Aggregate, Plant Pick-up'!H16</f>
        <v>0</v>
      </c>
      <c r="Q44" t="str">
        <f>Plant_Information!$B$6</f>
        <v>(INSERT VENDOR NAME HERE)</v>
      </c>
      <c r="R44" t="str">
        <f>'HAULING RATES- ODOT Locations'!$A$50</f>
        <v>District 4</v>
      </c>
      <c r="S44" t="str">
        <f>'HAULING RATES- ODOT Locations'!A58</f>
        <v>Ashtabula</v>
      </c>
      <c r="T44" t="str">
        <f>'HAULING RATES- ODOT Locations'!B58</f>
        <v>5820 SR 322, Williamsfield, OH  44093</v>
      </c>
      <c r="U44" t="str">
        <f>'HAULING RATES- ODOT Locations'!C$8</f>
        <v>Stone</v>
      </c>
      <c r="V44" s="146">
        <f>'HAULING RATES- ODOT Locations'!C58</f>
        <v>0</v>
      </c>
      <c r="W44" s="131" t="str">
        <f>+'Aggregate, Plant Pick-up'!$C$6</f>
        <v>LAFARGE-MARBLEHEAD "OSBORNE-CLEVELAND"</v>
      </c>
      <c r="X44" s="131" t="str">
        <f>+Plant_Information!$B$10</f>
        <v>04105-28</v>
      </c>
      <c r="Y44" s="131" t="str">
        <f>+Plant_Information!$B$11</f>
        <v>2100 CENTRAL FURNACE ROAD</v>
      </c>
      <c r="Z44" s="131" t="str">
        <f>+Plant_Information!$B$12</f>
        <v>CLEVELAND, OH, 44115</v>
      </c>
      <c r="AA44" s="131" t="str">
        <f>+Plant_Information!$B$13</f>
        <v>12</v>
      </c>
      <c r="AB44" s="131" t="str">
        <f>+Plant_Information!$B$14</f>
        <v>CUY</v>
      </c>
      <c r="AC44" s="70"/>
    </row>
    <row r="45" spans="2:46" x14ac:dyDescent="0.2">
      <c r="B45" t="str">
        <f>+'Aggregate, Plant Pick-up'!$C$5</f>
        <v>Complete on PLANT INFORMATION TAB</v>
      </c>
      <c r="C45" t="str">
        <f>+'Aggregate, Plant Pick-up'!$C$6</f>
        <v>LAFARGE-MARBLEHEAD "OSBORNE-CLEVELAND"</v>
      </c>
      <c r="D45" t="str">
        <f>+Plant_Information!$B$10</f>
        <v>04105-28</v>
      </c>
      <c r="E45" t="str">
        <f>+Plant_Information!$B$11</f>
        <v>2100 CENTRAL FURNACE ROAD</v>
      </c>
      <c r="F45" t="str">
        <f>+Plant_Information!$B$12</f>
        <v>CLEVELAND, OH, 44115</v>
      </c>
      <c r="G45" t="str">
        <f>+Plant_Information!$B$13</f>
        <v>12</v>
      </c>
      <c r="H45" s="75" t="str">
        <f>+Plant_Information!$B$14</f>
        <v>CUY</v>
      </c>
      <c r="I45" t="str">
        <f>+'Aggregate, Plant Pick-up'!H$7</f>
        <v>Stone</v>
      </c>
      <c r="J45" t="str">
        <f>CONCATENATE('Aggregate, Plant Pick-up'!F15," ( ",'Aggregate, Plant Pick-up'!G17," )")</f>
        <v>No. 3 ( 703.05 )</v>
      </c>
      <c r="K45" s="70">
        <f>+'Aggregate, Plant Pick-up'!H17</f>
        <v>0</v>
      </c>
      <c r="Q45" t="str">
        <f>Plant_Information!$B$6</f>
        <v>(INSERT VENDOR NAME HERE)</v>
      </c>
      <c r="R45" t="str">
        <f>'HAULING RATES- ODOT Locations'!$A$50</f>
        <v>District 4</v>
      </c>
      <c r="S45" t="str">
        <f>'HAULING RATES- ODOT Locations'!A59</f>
        <v>Mahoning</v>
      </c>
      <c r="T45" t="str">
        <f>'HAULING RATES- ODOT Locations'!B59</f>
        <v>401 W. Main St., Canfield, OH  44406</v>
      </c>
      <c r="U45" t="str">
        <f>'HAULING RATES- ODOT Locations'!C$8</f>
        <v>Stone</v>
      </c>
      <c r="V45" s="146">
        <f>'HAULING RATES- ODOT Locations'!C59</f>
        <v>0</v>
      </c>
      <c r="W45" s="131" t="str">
        <f>+'Aggregate, Plant Pick-up'!$C$6</f>
        <v>LAFARGE-MARBLEHEAD "OSBORNE-CLEVELAND"</v>
      </c>
      <c r="X45" s="131" t="str">
        <f>+Plant_Information!$B$10</f>
        <v>04105-28</v>
      </c>
      <c r="Y45" s="131" t="str">
        <f>+Plant_Information!$B$11</f>
        <v>2100 CENTRAL FURNACE ROAD</v>
      </c>
      <c r="Z45" s="131" t="str">
        <f>+Plant_Information!$B$12</f>
        <v>CLEVELAND, OH, 44115</v>
      </c>
      <c r="AA45" s="131" t="str">
        <f>+Plant_Information!$B$13</f>
        <v>12</v>
      </c>
      <c r="AB45" s="131" t="str">
        <f>+Plant_Information!$B$14</f>
        <v>CUY</v>
      </c>
      <c r="AC45" s="70"/>
    </row>
    <row r="46" spans="2:46" x14ac:dyDescent="0.2">
      <c r="B46" t="str">
        <f>+'Aggregate, Plant Pick-up'!$C$5</f>
        <v>Complete on PLANT INFORMATION TAB</v>
      </c>
      <c r="C46" t="str">
        <f>+'Aggregate, Plant Pick-up'!$C$6</f>
        <v>LAFARGE-MARBLEHEAD "OSBORNE-CLEVELAND"</v>
      </c>
      <c r="D46" t="str">
        <f>+Plant_Information!$B$10</f>
        <v>04105-28</v>
      </c>
      <c r="E46" t="str">
        <f>+Plant_Information!$B$11</f>
        <v>2100 CENTRAL FURNACE ROAD</v>
      </c>
      <c r="F46" t="str">
        <f>+Plant_Information!$B$12</f>
        <v>CLEVELAND, OH, 44115</v>
      </c>
      <c r="G46" t="str">
        <f>+Plant_Information!$B$13</f>
        <v>12</v>
      </c>
      <c r="H46" s="75" t="str">
        <f>+Plant_Information!$B$14</f>
        <v>CUY</v>
      </c>
      <c r="I46" t="str">
        <f>+'Aggregate, Plant Pick-up'!H$7</f>
        <v>Stone</v>
      </c>
      <c r="J46" t="str">
        <f>CONCATENATE('Aggregate, Plant Pick-up'!F18," ( ",'Aggregate, Plant Pick-up'!G18," )")</f>
        <v>No. 4 ( 703.02 )</v>
      </c>
      <c r="K46" s="70">
        <f>+'Aggregate, Plant Pick-up'!H18</f>
        <v>20.05</v>
      </c>
      <c r="Q46" t="str">
        <f>Plant_Information!$B$6</f>
        <v>(INSERT VENDOR NAME HERE)</v>
      </c>
      <c r="R46" t="str">
        <f>'HAULING RATES- ODOT Locations'!$A$50</f>
        <v>District 4</v>
      </c>
      <c r="S46" t="str">
        <f>'HAULING RATES- ODOT Locations'!A60</f>
        <v>Mahoning</v>
      </c>
      <c r="T46" t="str">
        <f>'HAULING RATES- ODOT Locations'!B60</f>
        <v>385 N. Bailey Rd., North Jackson, OH   44451</v>
      </c>
      <c r="U46" t="str">
        <f>'HAULING RATES- ODOT Locations'!C$8</f>
        <v>Stone</v>
      </c>
      <c r="V46" s="146">
        <f>'HAULING RATES- ODOT Locations'!C60</f>
        <v>0</v>
      </c>
      <c r="W46" s="131" t="str">
        <f>+'Aggregate, Plant Pick-up'!$C$6</f>
        <v>LAFARGE-MARBLEHEAD "OSBORNE-CLEVELAND"</v>
      </c>
      <c r="X46" s="131" t="str">
        <f>+Plant_Information!$B$10</f>
        <v>04105-28</v>
      </c>
      <c r="Y46" s="131" t="str">
        <f>+Plant_Information!$B$11</f>
        <v>2100 CENTRAL FURNACE ROAD</v>
      </c>
      <c r="Z46" s="131" t="str">
        <f>+Plant_Information!$B$12</f>
        <v>CLEVELAND, OH, 44115</v>
      </c>
      <c r="AA46" s="131" t="str">
        <f>+Plant_Information!$B$13</f>
        <v>12</v>
      </c>
      <c r="AB46" s="131" t="str">
        <f>+Plant_Information!$B$14</f>
        <v>CUY</v>
      </c>
      <c r="AC46" s="70"/>
    </row>
    <row r="47" spans="2:46" x14ac:dyDescent="0.2">
      <c r="B47" t="str">
        <f>+'Aggregate, Plant Pick-up'!$C$5</f>
        <v>Complete on PLANT INFORMATION TAB</v>
      </c>
      <c r="C47" t="str">
        <f>+'Aggregate, Plant Pick-up'!$C$6</f>
        <v>LAFARGE-MARBLEHEAD "OSBORNE-CLEVELAND"</v>
      </c>
      <c r="D47" t="str">
        <f>+Plant_Information!$B$10</f>
        <v>04105-28</v>
      </c>
      <c r="E47" t="str">
        <f>+Plant_Information!$B$11</f>
        <v>2100 CENTRAL FURNACE ROAD</v>
      </c>
      <c r="F47" t="str">
        <f>+Plant_Information!$B$12</f>
        <v>CLEVELAND, OH, 44115</v>
      </c>
      <c r="G47" t="str">
        <f>+Plant_Information!$B$13</f>
        <v>12</v>
      </c>
      <c r="H47" s="75" t="str">
        <f>+Plant_Information!$B$14</f>
        <v>CUY</v>
      </c>
      <c r="I47" t="str">
        <f>+'Aggregate, Plant Pick-up'!H$7</f>
        <v>Stone</v>
      </c>
      <c r="J47" t="str">
        <f>CONCATENATE('Aggregate, Plant Pick-up'!F18," ( ",'Aggregate, Plant Pick-up'!G19," )")</f>
        <v>No. 4 ( 703.04 )</v>
      </c>
      <c r="K47" s="70">
        <f>+'Aggregate, Plant Pick-up'!H19</f>
        <v>0</v>
      </c>
      <c r="Q47" t="str">
        <f>Plant_Information!$B$6</f>
        <v>(INSERT VENDOR NAME HERE)</v>
      </c>
      <c r="R47" t="str">
        <f>'HAULING RATES- ODOT Locations'!$A$50</f>
        <v>District 4</v>
      </c>
      <c r="S47" t="str">
        <f>'HAULING RATES- ODOT Locations'!A61</f>
        <v>Mahoning</v>
      </c>
      <c r="T47" t="str">
        <f>'HAULING RATES- ODOT Locations'!B61</f>
        <v>10720 Market St., N. Lima, OH    44452</v>
      </c>
      <c r="U47" t="str">
        <f>'HAULING RATES- ODOT Locations'!C$8</f>
        <v>Stone</v>
      </c>
      <c r="V47" s="146">
        <f>'HAULING RATES- ODOT Locations'!C61</f>
        <v>0</v>
      </c>
      <c r="W47" s="131" t="str">
        <f>+'Aggregate, Plant Pick-up'!$C$6</f>
        <v>LAFARGE-MARBLEHEAD "OSBORNE-CLEVELAND"</v>
      </c>
      <c r="X47" s="131" t="str">
        <f>+Plant_Information!$B$10</f>
        <v>04105-28</v>
      </c>
      <c r="Y47" s="131" t="str">
        <f>+Plant_Information!$B$11</f>
        <v>2100 CENTRAL FURNACE ROAD</v>
      </c>
      <c r="Z47" s="131" t="str">
        <f>+Plant_Information!$B$12</f>
        <v>CLEVELAND, OH, 44115</v>
      </c>
      <c r="AA47" s="131" t="str">
        <f>+Plant_Information!$B$13</f>
        <v>12</v>
      </c>
      <c r="AB47" s="131" t="str">
        <f>+Plant_Information!$B$14</f>
        <v>CUY</v>
      </c>
      <c r="AC47" s="70"/>
    </row>
    <row r="48" spans="2:46" x14ac:dyDescent="0.2">
      <c r="B48" t="str">
        <f>+'Aggregate, Plant Pick-up'!$C$5</f>
        <v>Complete on PLANT INFORMATION TAB</v>
      </c>
      <c r="C48" t="str">
        <f>+'Aggregate, Plant Pick-up'!$C$6</f>
        <v>LAFARGE-MARBLEHEAD "OSBORNE-CLEVELAND"</v>
      </c>
      <c r="D48" t="str">
        <f>+Plant_Information!$B$10</f>
        <v>04105-28</v>
      </c>
      <c r="E48" t="str">
        <f>+Plant_Information!$B$11</f>
        <v>2100 CENTRAL FURNACE ROAD</v>
      </c>
      <c r="F48" t="str">
        <f>+Plant_Information!$B$12</f>
        <v>CLEVELAND, OH, 44115</v>
      </c>
      <c r="G48" t="str">
        <f>+Plant_Information!$B$13</f>
        <v>12</v>
      </c>
      <c r="H48" s="75" t="str">
        <f>+Plant_Information!$B$14</f>
        <v>CUY</v>
      </c>
      <c r="I48" t="str">
        <f>+'Aggregate, Plant Pick-up'!H$7</f>
        <v>Stone</v>
      </c>
      <c r="J48" t="str">
        <f>CONCATENATE('Aggregate, Plant Pick-up'!F18," ( ",'Aggregate, Plant Pick-up'!G20," )")</f>
        <v>No. 4 ( 703.05 )</v>
      </c>
      <c r="K48" s="70">
        <f>+'Aggregate, Plant Pick-up'!H20</f>
        <v>0</v>
      </c>
      <c r="Q48" t="str">
        <f>Plant_Information!$B$6</f>
        <v>(INSERT VENDOR NAME HERE)</v>
      </c>
      <c r="R48" t="str">
        <f>'HAULING RATES- ODOT Locations'!$A$50</f>
        <v>District 4</v>
      </c>
      <c r="S48" t="str">
        <f>'HAULING RATES- ODOT Locations'!A62</f>
        <v>Mahoning</v>
      </c>
      <c r="T48" t="str">
        <f>'HAULING RATES- ODOT Locations'!B62</f>
        <v>Intersection SR14 &amp; Pricetown Road, Beloit, OH, 44609</v>
      </c>
      <c r="U48" t="str">
        <f>'HAULING RATES- ODOT Locations'!C$8</f>
        <v>Stone</v>
      </c>
      <c r="V48" s="146">
        <f>'HAULING RATES- ODOT Locations'!C62</f>
        <v>0</v>
      </c>
      <c r="W48" s="131" t="str">
        <f>+'Aggregate, Plant Pick-up'!$C$6</f>
        <v>LAFARGE-MARBLEHEAD "OSBORNE-CLEVELAND"</v>
      </c>
      <c r="X48" s="131" t="str">
        <f>+Plant_Information!$B$10</f>
        <v>04105-28</v>
      </c>
      <c r="Y48" s="131" t="str">
        <f>+Plant_Information!$B$11</f>
        <v>2100 CENTRAL FURNACE ROAD</v>
      </c>
      <c r="Z48" s="131" t="str">
        <f>+Plant_Information!$B$12</f>
        <v>CLEVELAND, OH, 44115</v>
      </c>
      <c r="AA48" s="131" t="str">
        <f>+Plant_Information!$B$13</f>
        <v>12</v>
      </c>
      <c r="AB48" s="131" t="str">
        <f>+Plant_Information!$B$14</f>
        <v>CUY</v>
      </c>
      <c r="AC48" s="70"/>
      <c r="AT48" s="69"/>
    </row>
    <row r="49" spans="2:51" x14ac:dyDescent="0.2">
      <c r="B49" t="str">
        <f>+'Aggregate, Plant Pick-up'!$C$5</f>
        <v>Complete on PLANT INFORMATION TAB</v>
      </c>
      <c r="C49" t="str">
        <f>+'Aggregate, Plant Pick-up'!$C$6</f>
        <v>LAFARGE-MARBLEHEAD "OSBORNE-CLEVELAND"</v>
      </c>
      <c r="D49" t="str">
        <f>+Plant_Information!$B$10</f>
        <v>04105-28</v>
      </c>
      <c r="E49" t="str">
        <f>+Plant_Information!$B$11</f>
        <v>2100 CENTRAL FURNACE ROAD</v>
      </c>
      <c r="F49" t="str">
        <f>+Plant_Information!$B$12</f>
        <v>CLEVELAND, OH, 44115</v>
      </c>
      <c r="G49" t="str">
        <f>+Plant_Information!$B$13</f>
        <v>12</v>
      </c>
      <c r="H49" s="75" t="str">
        <f>+Plant_Information!$B$14</f>
        <v>CUY</v>
      </c>
      <c r="I49" t="str">
        <f>+'Aggregate, Plant Pick-up'!H$7</f>
        <v>Stone</v>
      </c>
      <c r="J49" t="str">
        <f>CONCATENATE('Aggregate, Plant Pick-up'!F21," ( ",'Aggregate, Plant Pick-up'!G21," )")</f>
        <v>No. 467 ( 703.02 )</v>
      </c>
      <c r="K49" s="70">
        <f>+'Aggregate, Plant Pick-up'!H21</f>
        <v>0</v>
      </c>
      <c r="Q49" t="str">
        <f>Plant_Information!$B$6</f>
        <v>(INSERT VENDOR NAME HERE)</v>
      </c>
      <c r="R49" t="str">
        <f>'HAULING RATES- ODOT Locations'!$A$50</f>
        <v>District 4</v>
      </c>
      <c r="S49" t="str">
        <f>'HAULING RATES- ODOT Locations'!A63</f>
        <v>Mahoning</v>
      </c>
      <c r="T49" t="str">
        <f>'HAULING RATES- ODOT Locations'!B63</f>
        <v>South Avenue OP, I-680 &amp; South Ave. (Mp7) 1510 S. Ave., Youngstown, OH   44502</v>
      </c>
      <c r="U49" t="str">
        <f>'HAULING RATES- ODOT Locations'!C$8</f>
        <v>Stone</v>
      </c>
      <c r="V49" s="146">
        <f>'HAULING RATES- ODOT Locations'!C63</f>
        <v>0</v>
      </c>
      <c r="W49" s="131" t="str">
        <f>+'Aggregate, Plant Pick-up'!$C$6</f>
        <v>LAFARGE-MARBLEHEAD "OSBORNE-CLEVELAND"</v>
      </c>
      <c r="X49" s="131" t="str">
        <f>+Plant_Information!$B$10</f>
        <v>04105-28</v>
      </c>
      <c r="Y49" s="131" t="str">
        <f>+Plant_Information!$B$11</f>
        <v>2100 CENTRAL FURNACE ROAD</v>
      </c>
      <c r="Z49" s="131" t="str">
        <f>+Plant_Information!$B$12</f>
        <v>CLEVELAND, OH, 44115</v>
      </c>
      <c r="AA49" s="131" t="str">
        <f>+Plant_Information!$B$13</f>
        <v>12</v>
      </c>
      <c r="AB49" s="131" t="str">
        <f>+Plant_Information!$B$14</f>
        <v>CUY</v>
      </c>
      <c r="AC49" s="70"/>
    </row>
    <row r="50" spans="2:51" x14ac:dyDescent="0.2">
      <c r="B50" t="str">
        <f>+'Aggregate, Plant Pick-up'!$C$5</f>
        <v>Complete on PLANT INFORMATION TAB</v>
      </c>
      <c r="C50" t="str">
        <f>+'Aggregate, Plant Pick-up'!$C$6</f>
        <v>LAFARGE-MARBLEHEAD "OSBORNE-CLEVELAND"</v>
      </c>
      <c r="D50" t="str">
        <f>+Plant_Information!$B$10</f>
        <v>04105-28</v>
      </c>
      <c r="E50" t="str">
        <f>+Plant_Information!$B$11</f>
        <v>2100 CENTRAL FURNACE ROAD</v>
      </c>
      <c r="F50" t="str">
        <f>+Plant_Information!$B$12</f>
        <v>CLEVELAND, OH, 44115</v>
      </c>
      <c r="G50" t="str">
        <f>+Plant_Information!$B$13</f>
        <v>12</v>
      </c>
      <c r="H50" s="75" t="str">
        <f>+Plant_Information!$B$14</f>
        <v>CUY</v>
      </c>
      <c r="I50" t="str">
        <f>+'Aggregate, Plant Pick-up'!H$7</f>
        <v>Stone</v>
      </c>
      <c r="J50" t="str">
        <f>CONCATENATE('Aggregate, Plant Pick-up'!F21," ( ",'Aggregate, Plant Pick-up'!G22," )")</f>
        <v>No. 467 ( 703.04 )</v>
      </c>
      <c r="K50" s="70">
        <f>+'Aggregate, Plant Pick-up'!H22</f>
        <v>0</v>
      </c>
      <c r="Q50" t="str">
        <f>Plant_Information!$B$6</f>
        <v>(INSERT VENDOR NAME HERE)</v>
      </c>
      <c r="R50" t="str">
        <f>'HAULING RATES- ODOT Locations'!$A$50</f>
        <v>District 4</v>
      </c>
      <c r="S50" t="str">
        <f>'HAULING RATES- ODOT Locations'!A64</f>
        <v>Portage</v>
      </c>
      <c r="T50" t="str">
        <f>'HAULING RATES- ODOT Locations'!B64</f>
        <v>Drakesburg OP, 9068 SR 88, Windham, OH   44288</v>
      </c>
      <c r="U50" t="str">
        <f>'HAULING RATES- ODOT Locations'!C$8</f>
        <v>Stone</v>
      </c>
      <c r="V50" s="146">
        <f>'HAULING RATES- ODOT Locations'!C64</f>
        <v>0</v>
      </c>
      <c r="W50" s="131" t="str">
        <f>+'Aggregate, Plant Pick-up'!$C$6</f>
        <v>LAFARGE-MARBLEHEAD "OSBORNE-CLEVELAND"</v>
      </c>
      <c r="X50" s="131" t="str">
        <f>+Plant_Information!$B$10</f>
        <v>04105-28</v>
      </c>
      <c r="Y50" s="131" t="str">
        <f>+Plant_Information!$B$11</f>
        <v>2100 CENTRAL FURNACE ROAD</v>
      </c>
      <c r="Z50" s="131" t="str">
        <f>+Plant_Information!$B$12</f>
        <v>CLEVELAND, OH, 44115</v>
      </c>
      <c r="AA50" s="131" t="str">
        <f>+Plant_Information!$B$13</f>
        <v>12</v>
      </c>
      <c r="AB50" s="131" t="str">
        <f>+Plant_Information!$B$14</f>
        <v>CUY</v>
      </c>
      <c r="AC50" s="70"/>
    </row>
    <row r="51" spans="2:51" x14ac:dyDescent="0.2">
      <c r="B51" t="str">
        <f>+'Aggregate, Plant Pick-up'!$C$5</f>
        <v>Complete on PLANT INFORMATION TAB</v>
      </c>
      <c r="C51" t="str">
        <f>+'Aggregate, Plant Pick-up'!$C$6</f>
        <v>LAFARGE-MARBLEHEAD "OSBORNE-CLEVELAND"</v>
      </c>
      <c r="D51" t="str">
        <f>+Plant_Information!$B$10</f>
        <v>04105-28</v>
      </c>
      <c r="E51" t="str">
        <f>+Plant_Information!$B$11</f>
        <v>2100 CENTRAL FURNACE ROAD</v>
      </c>
      <c r="F51" t="str">
        <f>+Plant_Information!$B$12</f>
        <v>CLEVELAND, OH, 44115</v>
      </c>
      <c r="G51" t="str">
        <f>+Plant_Information!$B$13</f>
        <v>12</v>
      </c>
      <c r="H51" s="75" t="str">
        <f>+Plant_Information!$B$14</f>
        <v>CUY</v>
      </c>
      <c r="I51" t="str">
        <f>+'Aggregate, Plant Pick-up'!H$7</f>
        <v>Stone</v>
      </c>
      <c r="J51" t="str">
        <f>CONCATENATE('Aggregate, Plant Pick-up'!F21," ( ",'Aggregate, Plant Pick-up'!G23," )")</f>
        <v>No. 467 ( 703.05 )</v>
      </c>
      <c r="K51" s="70">
        <f>+'Aggregate, Plant Pick-up'!H23</f>
        <v>0</v>
      </c>
      <c r="Q51" t="str">
        <f>Plant_Information!$B$6</f>
        <v>(INSERT VENDOR NAME HERE)</v>
      </c>
      <c r="R51" t="str">
        <f>'HAULING RATES- ODOT Locations'!$A$50</f>
        <v>District 4</v>
      </c>
      <c r="S51" t="str">
        <f>'HAULING RATES- ODOT Locations'!A65</f>
        <v>Portage</v>
      </c>
      <c r="T51" t="str">
        <f>'HAULING RATES- ODOT Locations'!B65</f>
        <v>2638 SR 14, Deerfield, OH   44411</v>
      </c>
      <c r="U51" t="str">
        <f>'HAULING RATES- ODOT Locations'!C$8</f>
        <v>Stone</v>
      </c>
      <c r="V51" s="146">
        <f>'HAULING RATES- ODOT Locations'!C65</f>
        <v>0</v>
      </c>
      <c r="W51" s="131" t="str">
        <f>+'Aggregate, Plant Pick-up'!$C$6</f>
        <v>LAFARGE-MARBLEHEAD "OSBORNE-CLEVELAND"</v>
      </c>
      <c r="X51" s="131" t="str">
        <f>+Plant_Information!$B$10</f>
        <v>04105-28</v>
      </c>
      <c r="Y51" s="131" t="str">
        <f>+Plant_Information!$B$11</f>
        <v>2100 CENTRAL FURNACE ROAD</v>
      </c>
      <c r="Z51" s="131" t="str">
        <f>+Plant_Information!$B$12</f>
        <v>CLEVELAND, OH, 44115</v>
      </c>
      <c r="AA51" s="131" t="str">
        <f>+Plant_Information!$B$13</f>
        <v>12</v>
      </c>
      <c r="AB51" s="131" t="str">
        <f>+Plant_Information!$B$14</f>
        <v>CUY</v>
      </c>
      <c r="AC51" s="70"/>
    </row>
    <row r="52" spans="2:51" x14ac:dyDescent="0.2">
      <c r="B52" t="str">
        <f>+'Aggregate, Plant Pick-up'!$C$5</f>
        <v>Complete on PLANT INFORMATION TAB</v>
      </c>
      <c r="C52" t="str">
        <f>+'Aggregate, Plant Pick-up'!$C$6</f>
        <v>LAFARGE-MARBLEHEAD "OSBORNE-CLEVELAND"</v>
      </c>
      <c r="D52" t="str">
        <f>+Plant_Information!$B$10</f>
        <v>04105-28</v>
      </c>
      <c r="E52" t="str">
        <f>+Plant_Information!$B$11</f>
        <v>2100 CENTRAL FURNACE ROAD</v>
      </c>
      <c r="F52" t="str">
        <f>+Plant_Information!$B$12</f>
        <v>CLEVELAND, OH, 44115</v>
      </c>
      <c r="G52" t="str">
        <f>+Plant_Information!$B$13</f>
        <v>12</v>
      </c>
      <c r="H52" s="75" t="str">
        <f>+Plant_Information!$B$14</f>
        <v>CUY</v>
      </c>
      <c r="I52" t="str">
        <f>+'Aggregate, Plant Pick-up'!H$7</f>
        <v>Stone</v>
      </c>
      <c r="J52" t="str">
        <f>CONCATENATE('Aggregate, Plant Pick-up'!F24," ( ",'Aggregate, Plant Pick-up'!G24," )")</f>
        <v>No. 57 ( 703.02 )</v>
      </c>
      <c r="K52" s="70">
        <f>+'Aggregate, Plant Pick-up'!H24</f>
        <v>0</v>
      </c>
      <c r="Q52" t="str">
        <f>Plant_Information!$B$6</f>
        <v>(INSERT VENDOR NAME HERE)</v>
      </c>
      <c r="R52" t="str">
        <f>'HAULING RATES- ODOT Locations'!$A$50</f>
        <v>District 4</v>
      </c>
      <c r="S52" t="str">
        <f>'HAULING RATES- ODOT Locations'!A66</f>
        <v>Portage</v>
      </c>
      <c r="T52" t="str">
        <f>'HAULING RATES- ODOT Locations'!B66</f>
        <v>5071 Commerce One Drive, Rootstown, OH 44272</v>
      </c>
      <c r="U52" t="str">
        <f>'HAULING RATES- ODOT Locations'!C$8</f>
        <v>Stone</v>
      </c>
      <c r="V52" s="146">
        <f>'HAULING RATES- ODOT Locations'!C66</f>
        <v>0</v>
      </c>
      <c r="W52" s="131" t="str">
        <f>+'Aggregate, Plant Pick-up'!$C$6</f>
        <v>LAFARGE-MARBLEHEAD "OSBORNE-CLEVELAND"</v>
      </c>
      <c r="X52" s="131" t="str">
        <f>+Plant_Information!$B$10</f>
        <v>04105-28</v>
      </c>
      <c r="Y52" s="131" t="str">
        <f>+Plant_Information!$B$11</f>
        <v>2100 CENTRAL FURNACE ROAD</v>
      </c>
      <c r="Z52" s="131" t="str">
        <f>+Plant_Information!$B$12</f>
        <v>CLEVELAND, OH, 44115</v>
      </c>
      <c r="AA52" s="131" t="str">
        <f>+Plant_Information!$B$13</f>
        <v>12</v>
      </c>
      <c r="AB52" s="131" t="str">
        <f>+Plant_Information!$B$14</f>
        <v>CUY</v>
      </c>
      <c r="AC52" s="70"/>
    </row>
    <row r="53" spans="2:51" x14ac:dyDescent="0.2">
      <c r="B53" t="str">
        <f>+'Aggregate, Plant Pick-up'!$C$5</f>
        <v>Complete on PLANT INFORMATION TAB</v>
      </c>
      <c r="C53" t="str">
        <f>+'Aggregate, Plant Pick-up'!$C$6</f>
        <v>LAFARGE-MARBLEHEAD "OSBORNE-CLEVELAND"</v>
      </c>
      <c r="D53" t="str">
        <f>+Plant_Information!$B$10</f>
        <v>04105-28</v>
      </c>
      <c r="E53" t="str">
        <f>+Plant_Information!$B$11</f>
        <v>2100 CENTRAL FURNACE ROAD</v>
      </c>
      <c r="F53" t="str">
        <f>+Plant_Information!$B$12</f>
        <v>CLEVELAND, OH, 44115</v>
      </c>
      <c r="G53" t="str">
        <f>+Plant_Information!$B$13</f>
        <v>12</v>
      </c>
      <c r="H53" s="75" t="str">
        <f>+Plant_Information!$B$14</f>
        <v>CUY</v>
      </c>
      <c r="I53" t="str">
        <f>+'Aggregate, Plant Pick-up'!H$7</f>
        <v>Stone</v>
      </c>
      <c r="J53" t="str">
        <f>CONCATENATE('Aggregate, Plant Pick-up'!F24," ( ",'Aggregate, Plant Pick-up'!G25," )")</f>
        <v>No. 57 ( 703.04 )</v>
      </c>
      <c r="K53" s="70">
        <f>+'Aggregate, Plant Pick-up'!H25</f>
        <v>19.2</v>
      </c>
      <c r="Q53" t="str">
        <f>Plant_Information!$B$6</f>
        <v>(INSERT VENDOR NAME HERE)</v>
      </c>
      <c r="R53" t="str">
        <f>'HAULING RATES- ODOT Locations'!$A$50</f>
        <v>District 4</v>
      </c>
      <c r="S53" t="str">
        <f>'HAULING RATES- ODOT Locations'!A67</f>
        <v>Stark</v>
      </c>
      <c r="T53" t="str">
        <f>'HAULING RATES- ODOT Locations'!B67</f>
        <v>4505 Atlantic Blvd. NE, Canton, Intersection of  US 62 &amp; Atlantic</v>
      </c>
      <c r="U53" t="str">
        <f>'HAULING RATES- ODOT Locations'!C$8</f>
        <v>Stone</v>
      </c>
      <c r="V53" s="146">
        <f>'HAULING RATES- ODOT Locations'!C67</f>
        <v>0</v>
      </c>
      <c r="W53" s="131" t="str">
        <f>+'Aggregate, Plant Pick-up'!$C$6</f>
        <v>LAFARGE-MARBLEHEAD "OSBORNE-CLEVELAND"</v>
      </c>
      <c r="X53" s="131" t="str">
        <f>+Plant_Information!$B$10</f>
        <v>04105-28</v>
      </c>
      <c r="Y53" s="131" t="str">
        <f>+Plant_Information!$B$11</f>
        <v>2100 CENTRAL FURNACE ROAD</v>
      </c>
      <c r="Z53" s="131" t="str">
        <f>+Plant_Information!$B$12</f>
        <v>CLEVELAND, OH, 44115</v>
      </c>
      <c r="AA53" s="131" t="str">
        <f>+Plant_Information!$B$13</f>
        <v>12</v>
      </c>
      <c r="AB53" s="131" t="str">
        <f>+Plant_Information!$B$14</f>
        <v>CUY</v>
      </c>
      <c r="AC53" s="70"/>
    </row>
    <row r="54" spans="2:51" x14ac:dyDescent="0.2">
      <c r="B54" t="str">
        <f>+'Aggregate, Plant Pick-up'!$C$5</f>
        <v>Complete on PLANT INFORMATION TAB</v>
      </c>
      <c r="C54" t="str">
        <f>+'Aggregate, Plant Pick-up'!$C$6</f>
        <v>LAFARGE-MARBLEHEAD "OSBORNE-CLEVELAND"</v>
      </c>
      <c r="D54" t="str">
        <f>+Plant_Information!$B$10</f>
        <v>04105-28</v>
      </c>
      <c r="E54" t="str">
        <f>+Plant_Information!$B$11</f>
        <v>2100 CENTRAL FURNACE ROAD</v>
      </c>
      <c r="F54" t="str">
        <f>+Plant_Information!$B$12</f>
        <v>CLEVELAND, OH, 44115</v>
      </c>
      <c r="G54" t="str">
        <f>+Plant_Information!$B$13</f>
        <v>12</v>
      </c>
      <c r="H54" s="75" t="str">
        <f>+Plant_Information!$B$14</f>
        <v>CUY</v>
      </c>
      <c r="I54" t="str">
        <f>+'Aggregate, Plant Pick-up'!H$7</f>
        <v>Stone</v>
      </c>
      <c r="J54" t="str">
        <f>CONCATENATE('Aggregate, Plant Pick-up'!F24," ( ",'Aggregate, Plant Pick-up'!G26," )")</f>
        <v>No. 57 ( 703.05 )</v>
      </c>
      <c r="K54" s="70">
        <f>+'Aggregate, Plant Pick-up'!H26</f>
        <v>0</v>
      </c>
      <c r="Q54" t="str">
        <f>Plant_Information!$B$6</f>
        <v>(INSERT VENDOR NAME HERE)</v>
      </c>
      <c r="R54" t="str">
        <f>'HAULING RATES- ODOT Locations'!$A$50</f>
        <v>District 4</v>
      </c>
      <c r="S54" t="str">
        <f>'HAULING RATES- ODOT Locations'!A68</f>
        <v>Stark</v>
      </c>
      <c r="T54" t="str">
        <f>'HAULING RATES- ODOT Locations'!B68</f>
        <v>Millersburg OP, 12751 Millersburg SW,  Massillon, 44647 (corner of SR 241 &amp; SR 93)</v>
      </c>
      <c r="U54" t="str">
        <f>'HAULING RATES- ODOT Locations'!C$8</f>
        <v>Stone</v>
      </c>
      <c r="V54" s="146">
        <f>'HAULING RATES- ODOT Locations'!C68</f>
        <v>0</v>
      </c>
      <c r="W54" s="131" t="str">
        <f>+'Aggregate, Plant Pick-up'!$C$6</f>
        <v>LAFARGE-MARBLEHEAD "OSBORNE-CLEVELAND"</v>
      </c>
      <c r="X54" s="131" t="str">
        <f>+Plant_Information!$B$10</f>
        <v>04105-28</v>
      </c>
      <c r="Y54" s="131" t="str">
        <f>+Plant_Information!$B$11</f>
        <v>2100 CENTRAL FURNACE ROAD</v>
      </c>
      <c r="Z54" s="131" t="str">
        <f>+Plant_Information!$B$12</f>
        <v>CLEVELAND, OH, 44115</v>
      </c>
      <c r="AA54" s="131" t="str">
        <f>+Plant_Information!$B$13</f>
        <v>12</v>
      </c>
      <c r="AB54" s="131" t="str">
        <f>+Plant_Information!$B$14</f>
        <v>CUY</v>
      </c>
      <c r="AC54" s="70"/>
      <c r="AT54" s="69"/>
    </row>
    <row r="55" spans="2:51" x14ac:dyDescent="0.2">
      <c r="B55" t="str">
        <f>+'Aggregate, Plant Pick-up'!$C$5</f>
        <v>Complete on PLANT INFORMATION TAB</v>
      </c>
      <c r="C55" t="str">
        <f>+'Aggregate, Plant Pick-up'!$C$6</f>
        <v>LAFARGE-MARBLEHEAD "OSBORNE-CLEVELAND"</v>
      </c>
      <c r="D55" t="str">
        <f>+Plant_Information!$B$10</f>
        <v>04105-28</v>
      </c>
      <c r="E55" t="str">
        <f>+Plant_Information!$B$11</f>
        <v>2100 CENTRAL FURNACE ROAD</v>
      </c>
      <c r="F55" t="str">
        <f>+Plant_Information!$B$12</f>
        <v>CLEVELAND, OH, 44115</v>
      </c>
      <c r="G55" t="str">
        <f>+Plant_Information!$B$13</f>
        <v>12</v>
      </c>
      <c r="H55" s="75" t="str">
        <f>+Plant_Information!$B$14</f>
        <v>CUY</v>
      </c>
      <c r="I55" t="str">
        <f>+'Aggregate, Plant Pick-up'!H$7</f>
        <v>Stone</v>
      </c>
      <c r="J55" t="str">
        <f>CONCATENATE('Aggregate, Plant Pick-up'!F27," ( ",'Aggregate, Plant Pick-up'!G27," )")</f>
        <v>No. 6 ( 703.02 )</v>
      </c>
      <c r="K55" s="70">
        <f>+'Aggregate, Plant Pick-up'!H27</f>
        <v>0</v>
      </c>
      <c r="Q55" s="138" t="str">
        <f>Plant_Information!$B$6</f>
        <v>(INSERT VENDOR NAME HERE)</v>
      </c>
      <c r="R55" s="138" t="str">
        <f>'HAULING RATES- ODOT Locations'!$A$50</f>
        <v>District 4</v>
      </c>
      <c r="S55" s="138" t="str">
        <f>'HAULING RATES- ODOT Locations'!A69</f>
        <v>Stark</v>
      </c>
      <c r="T55" s="138" t="str">
        <f>'HAULING RATES- ODOT Locations'!B69</f>
        <v>3018 Richville Drive SE, Massillon, OH 44646</v>
      </c>
      <c r="U55" s="138" t="str">
        <f>'HAULING RATES- ODOT Locations'!C$8</f>
        <v>Stone</v>
      </c>
      <c r="V55" s="146">
        <f>'HAULING RATES- ODOT Locations'!C69</f>
        <v>0</v>
      </c>
      <c r="W55" s="141" t="str">
        <f>+'Aggregate, Plant Pick-up'!$C$6</f>
        <v>LAFARGE-MARBLEHEAD "OSBORNE-CLEVELAND"</v>
      </c>
      <c r="X55" s="141" t="str">
        <f>+Plant_Information!$B$10</f>
        <v>04105-28</v>
      </c>
      <c r="Y55" s="141" t="str">
        <f>+Plant_Information!$B$11</f>
        <v>2100 CENTRAL FURNACE ROAD</v>
      </c>
      <c r="Z55" s="141" t="str">
        <f>+Plant_Information!$B$12</f>
        <v>CLEVELAND, OH, 44115</v>
      </c>
      <c r="AA55" s="141" t="str">
        <f>+Plant_Information!$B$13</f>
        <v>12</v>
      </c>
      <c r="AB55" s="141" t="str">
        <f>+Plant_Information!$B$14</f>
        <v>CUY</v>
      </c>
      <c r="AC55" s="70"/>
    </row>
    <row r="56" spans="2:51" x14ac:dyDescent="0.2">
      <c r="B56" t="str">
        <f>+'Aggregate, Plant Pick-up'!$C$5</f>
        <v>Complete on PLANT INFORMATION TAB</v>
      </c>
      <c r="C56" t="str">
        <f>+'Aggregate, Plant Pick-up'!$C$6</f>
        <v>LAFARGE-MARBLEHEAD "OSBORNE-CLEVELAND"</v>
      </c>
      <c r="D56" t="str">
        <f>+Plant_Information!$B$10</f>
        <v>04105-28</v>
      </c>
      <c r="E56" t="str">
        <f>+Plant_Information!$B$11</f>
        <v>2100 CENTRAL FURNACE ROAD</v>
      </c>
      <c r="F56" t="str">
        <f>+Plant_Information!$B$12</f>
        <v>CLEVELAND, OH, 44115</v>
      </c>
      <c r="G56" t="str">
        <f>+Plant_Information!$B$13</f>
        <v>12</v>
      </c>
      <c r="H56" s="75" t="str">
        <f>+Plant_Information!$B$14</f>
        <v>CUY</v>
      </c>
      <c r="I56" t="str">
        <f>+'Aggregate, Plant Pick-up'!H$7</f>
        <v>Stone</v>
      </c>
      <c r="J56" t="str">
        <f>CONCATENATE('Aggregate, Plant Pick-up'!F27," ( ",'Aggregate, Plant Pick-up'!G28," )")</f>
        <v>No. 6 ( 703.04 )</v>
      </c>
      <c r="K56" s="70">
        <f>+'Aggregate, Plant Pick-up'!H28</f>
        <v>0</v>
      </c>
      <c r="Q56" t="str">
        <f>Plant_Information!$B$6</f>
        <v>(INSERT VENDOR NAME HERE)</v>
      </c>
      <c r="R56" t="str">
        <f>'HAULING RATES- ODOT Locations'!$A$50</f>
        <v>District 4</v>
      </c>
      <c r="S56" t="str">
        <f>'HAULING RATES- ODOT Locations'!A70</f>
        <v>Summit</v>
      </c>
      <c r="T56" t="str">
        <f>'HAULING RATES- ODOT Locations'!B70</f>
        <v>Boston Heights Garage, 6155 Chittenden Rd., Hudson, OH 44236</v>
      </c>
      <c r="U56" t="str">
        <f>'HAULING RATES- ODOT Locations'!C$8</f>
        <v>Stone</v>
      </c>
      <c r="V56" s="146">
        <f>'HAULING RATES- ODOT Locations'!C70</f>
        <v>0</v>
      </c>
      <c r="W56" s="131" t="str">
        <f>+'Aggregate, Plant Pick-up'!$C$6</f>
        <v>LAFARGE-MARBLEHEAD "OSBORNE-CLEVELAND"</v>
      </c>
      <c r="X56" s="131" t="str">
        <f>+Plant_Information!$B$10</f>
        <v>04105-28</v>
      </c>
      <c r="Y56" s="131" t="str">
        <f>+Plant_Information!$B$11</f>
        <v>2100 CENTRAL FURNACE ROAD</v>
      </c>
      <c r="Z56" s="131" t="str">
        <f>+Plant_Information!$B$12</f>
        <v>CLEVELAND, OH, 44115</v>
      </c>
      <c r="AA56" s="131" t="str">
        <f>+Plant_Information!$B$13</f>
        <v>12</v>
      </c>
      <c r="AB56" s="131" t="str">
        <f>+Plant_Information!$B$14</f>
        <v>CUY</v>
      </c>
      <c r="AC56" s="70"/>
    </row>
    <row r="57" spans="2:51" x14ac:dyDescent="0.2">
      <c r="B57" t="str">
        <f>+'Aggregate, Plant Pick-up'!$C$5</f>
        <v>Complete on PLANT INFORMATION TAB</v>
      </c>
      <c r="C57" t="str">
        <f>+'Aggregate, Plant Pick-up'!$C$6</f>
        <v>LAFARGE-MARBLEHEAD "OSBORNE-CLEVELAND"</v>
      </c>
      <c r="D57" t="str">
        <f>+Plant_Information!$B$10</f>
        <v>04105-28</v>
      </c>
      <c r="E57" t="str">
        <f>+Plant_Information!$B$11</f>
        <v>2100 CENTRAL FURNACE ROAD</v>
      </c>
      <c r="F57" t="str">
        <f>+Plant_Information!$B$12</f>
        <v>CLEVELAND, OH, 44115</v>
      </c>
      <c r="G57" t="str">
        <f>+Plant_Information!$B$13</f>
        <v>12</v>
      </c>
      <c r="H57" s="75" t="str">
        <f>+Plant_Information!$B$14</f>
        <v>CUY</v>
      </c>
      <c r="I57" t="str">
        <f>+'Aggregate, Plant Pick-up'!H$7</f>
        <v>Stone</v>
      </c>
      <c r="J57" t="str">
        <f>CONCATENATE('Aggregate, Plant Pick-up'!F27," ( ",'Aggregate, Plant Pick-up'!G29," )")</f>
        <v>No. 6 ( 703.05 )</v>
      </c>
      <c r="K57" s="70">
        <f>+'Aggregate, Plant Pick-up'!H29</f>
        <v>0</v>
      </c>
      <c r="Q57" t="str">
        <f>Plant_Information!$B$6</f>
        <v>(INSERT VENDOR NAME HERE)</v>
      </c>
      <c r="R57" t="str">
        <f>'HAULING RATES- ODOT Locations'!$A$50</f>
        <v>District 4</v>
      </c>
      <c r="S57" t="str">
        <f>'HAULING RATES- ODOT Locations'!A71</f>
        <v>Summit</v>
      </c>
      <c r="T57" t="str">
        <f>'HAULING RATES- ODOT Locations'!B71</f>
        <v>8820 Darow Rd., Twinsburg, OH   44087</v>
      </c>
      <c r="U57" t="str">
        <f>'HAULING RATES- ODOT Locations'!C$8</f>
        <v>Stone</v>
      </c>
      <c r="V57" s="146">
        <f>'HAULING RATES- ODOT Locations'!C71</f>
        <v>0</v>
      </c>
      <c r="W57" s="131" t="str">
        <f>+'Aggregate, Plant Pick-up'!$C$6</f>
        <v>LAFARGE-MARBLEHEAD "OSBORNE-CLEVELAND"</v>
      </c>
      <c r="X57" s="131" t="str">
        <f>+Plant_Information!$B$10</f>
        <v>04105-28</v>
      </c>
      <c r="Y57" s="131" t="str">
        <f>+Plant_Information!$B$11</f>
        <v>2100 CENTRAL FURNACE ROAD</v>
      </c>
      <c r="Z57" s="131" t="str">
        <f>+Plant_Information!$B$12</f>
        <v>CLEVELAND, OH, 44115</v>
      </c>
      <c r="AA57" s="131" t="str">
        <f>+Plant_Information!$B$13</f>
        <v>12</v>
      </c>
      <c r="AB57" s="131" t="str">
        <f>+Plant_Information!$B$14</f>
        <v>CUY</v>
      </c>
      <c r="AC57" s="70"/>
    </row>
    <row r="58" spans="2:51" x14ac:dyDescent="0.2">
      <c r="B58" t="str">
        <f>+'Aggregate, Plant Pick-up'!$C$5</f>
        <v>Complete on PLANT INFORMATION TAB</v>
      </c>
      <c r="C58" t="str">
        <f>+'Aggregate, Plant Pick-up'!$C$6</f>
        <v>LAFARGE-MARBLEHEAD "OSBORNE-CLEVELAND"</v>
      </c>
      <c r="D58" t="str">
        <f>+Plant_Information!$B$10</f>
        <v>04105-28</v>
      </c>
      <c r="E58" t="str">
        <f>+Plant_Information!$B$11</f>
        <v>2100 CENTRAL FURNACE ROAD</v>
      </c>
      <c r="F58" t="str">
        <f>+Plant_Information!$B$12</f>
        <v>CLEVELAND, OH, 44115</v>
      </c>
      <c r="G58" t="str">
        <f>+Plant_Information!$B$13</f>
        <v>12</v>
      </c>
      <c r="H58" s="75" t="str">
        <f>+Plant_Information!$B$14</f>
        <v>CUY</v>
      </c>
      <c r="I58" t="str">
        <f>+'Aggregate, Plant Pick-up'!H$7</f>
        <v>Stone</v>
      </c>
      <c r="J58" t="str">
        <f>CONCATENATE('Aggregate, Plant Pick-up'!F30," ( ",'Aggregate, Plant Pick-up'!G30," )")</f>
        <v>No. 67 ( 703.02 )</v>
      </c>
      <c r="K58" s="70">
        <f>+'Aggregate, Plant Pick-up'!H30</f>
        <v>0</v>
      </c>
      <c r="Q58" t="str">
        <f>Plant_Information!$B$6</f>
        <v>(INSERT VENDOR NAME HERE)</v>
      </c>
      <c r="R58" t="str">
        <f>'HAULING RATES- ODOT Locations'!$A$50</f>
        <v>District 4</v>
      </c>
      <c r="S58" t="str">
        <f>'HAULING RATES- ODOT Locations'!A72</f>
        <v>Summit</v>
      </c>
      <c r="T58" t="str">
        <f>'HAULING RATES- ODOT Locations'!B72</f>
        <v>Norton OP, 3349 SR 21, Norton, OH   44203 (Interchange  I-76 and SR 21)</v>
      </c>
      <c r="U58" t="str">
        <f>'HAULING RATES- ODOT Locations'!C$8</f>
        <v>Stone</v>
      </c>
      <c r="V58" s="146">
        <f>'HAULING RATES- ODOT Locations'!C72</f>
        <v>0</v>
      </c>
      <c r="W58" s="131" t="str">
        <f>+'Aggregate, Plant Pick-up'!$C$6</f>
        <v>LAFARGE-MARBLEHEAD "OSBORNE-CLEVELAND"</v>
      </c>
      <c r="X58" s="131" t="str">
        <f>+Plant_Information!$B$10</f>
        <v>04105-28</v>
      </c>
      <c r="Y58" s="131" t="str">
        <f>+Plant_Information!$B$11</f>
        <v>2100 CENTRAL FURNACE ROAD</v>
      </c>
      <c r="Z58" s="131" t="str">
        <f>+Plant_Information!$B$12</f>
        <v>CLEVELAND, OH, 44115</v>
      </c>
      <c r="AA58" s="131" t="str">
        <f>+Plant_Information!$B$13</f>
        <v>12</v>
      </c>
      <c r="AB58" s="131" t="str">
        <f>+Plant_Information!$B$14</f>
        <v>CUY</v>
      </c>
      <c r="AC58" s="70"/>
    </row>
    <row r="59" spans="2:51" x14ac:dyDescent="0.2">
      <c r="B59" t="str">
        <f>+'Aggregate, Plant Pick-up'!$C$5</f>
        <v>Complete on PLANT INFORMATION TAB</v>
      </c>
      <c r="C59" t="str">
        <f>+'Aggregate, Plant Pick-up'!$C$6</f>
        <v>LAFARGE-MARBLEHEAD "OSBORNE-CLEVELAND"</v>
      </c>
      <c r="D59" t="str">
        <f>+Plant_Information!$B$10</f>
        <v>04105-28</v>
      </c>
      <c r="E59" t="str">
        <f>+Plant_Information!$B$11</f>
        <v>2100 CENTRAL FURNACE ROAD</v>
      </c>
      <c r="F59" t="str">
        <f>+Plant_Information!$B$12</f>
        <v>CLEVELAND, OH, 44115</v>
      </c>
      <c r="G59" t="str">
        <f>+Plant_Information!$B$13</f>
        <v>12</v>
      </c>
      <c r="H59" s="75" t="str">
        <f>+Plant_Information!$B$14</f>
        <v>CUY</v>
      </c>
      <c r="I59" t="str">
        <f>+'Aggregate, Plant Pick-up'!H$7</f>
        <v>Stone</v>
      </c>
      <c r="J59" t="str">
        <f>CONCATENATE('Aggregate, Plant Pick-up'!F30," ( ",'Aggregate, Plant Pick-up'!G31," )")</f>
        <v>No. 67 ( 703.04 )</v>
      </c>
      <c r="K59" s="70">
        <f>+'Aggregate, Plant Pick-up'!H31</f>
        <v>0</v>
      </c>
      <c r="Q59" t="str">
        <f>Plant_Information!$B$6</f>
        <v>(INSERT VENDOR NAME HERE)</v>
      </c>
      <c r="R59" t="str">
        <f>'HAULING RATES- ODOT Locations'!$A$50</f>
        <v>District 4</v>
      </c>
      <c r="S59" t="str">
        <f>'HAULING RATES- ODOT Locations'!A73</f>
        <v>Summit</v>
      </c>
      <c r="T59" t="str">
        <f>'HAULING RATES- ODOT Locations'!B73</f>
        <v>Greensburg OP, 4377 Mt. Pleasant Road, North Canton, , OH   44272  (1/4 mi. n. of I-77 Airport exit.)</v>
      </c>
      <c r="U59" t="str">
        <f>'HAULING RATES- ODOT Locations'!C$8</f>
        <v>Stone</v>
      </c>
      <c r="V59" s="146">
        <f>'HAULING RATES- ODOT Locations'!C73</f>
        <v>0</v>
      </c>
      <c r="W59" s="131" t="str">
        <f>+'Aggregate, Plant Pick-up'!$C$6</f>
        <v>LAFARGE-MARBLEHEAD "OSBORNE-CLEVELAND"</v>
      </c>
      <c r="X59" s="131" t="str">
        <f>+Plant_Information!$B$10</f>
        <v>04105-28</v>
      </c>
      <c r="Y59" s="131" t="str">
        <f>+Plant_Information!$B$11</f>
        <v>2100 CENTRAL FURNACE ROAD</v>
      </c>
      <c r="Z59" s="131" t="str">
        <f>+Plant_Information!$B$12</f>
        <v>CLEVELAND, OH, 44115</v>
      </c>
      <c r="AA59" s="131" t="str">
        <f>+Plant_Information!$B$13</f>
        <v>12</v>
      </c>
      <c r="AB59" s="131" t="str">
        <f>+Plant_Information!$B$14</f>
        <v>CUY</v>
      </c>
      <c r="AC59" s="70"/>
    </row>
    <row r="60" spans="2:51" x14ac:dyDescent="0.2">
      <c r="B60" t="str">
        <f>+'Aggregate, Plant Pick-up'!$C$5</f>
        <v>Complete on PLANT INFORMATION TAB</v>
      </c>
      <c r="C60" t="str">
        <f>+'Aggregate, Plant Pick-up'!$C$6</f>
        <v>LAFARGE-MARBLEHEAD "OSBORNE-CLEVELAND"</v>
      </c>
      <c r="D60" t="str">
        <f>+Plant_Information!$B$10</f>
        <v>04105-28</v>
      </c>
      <c r="E60" t="str">
        <f>+Plant_Information!$B$11</f>
        <v>2100 CENTRAL FURNACE ROAD</v>
      </c>
      <c r="F60" t="str">
        <f>+Plant_Information!$B$12</f>
        <v>CLEVELAND, OH, 44115</v>
      </c>
      <c r="G60" t="str">
        <f>+Plant_Information!$B$13</f>
        <v>12</v>
      </c>
      <c r="H60" s="75" t="str">
        <f>+Plant_Information!$B$14</f>
        <v>CUY</v>
      </c>
      <c r="I60" t="str">
        <f>+'Aggregate, Plant Pick-up'!H$7</f>
        <v>Stone</v>
      </c>
      <c r="J60" t="str">
        <f>CONCATENATE('Aggregate, Plant Pick-up'!F30," ( ",'Aggregate, Plant Pick-up'!G32," )")</f>
        <v>No. 67 ( 703.05 )</v>
      </c>
      <c r="K60" s="70">
        <f>+'Aggregate, Plant Pick-up'!H32</f>
        <v>0</v>
      </c>
      <c r="Q60" t="str">
        <f>Plant_Information!$B$6</f>
        <v>(INSERT VENDOR NAME HERE)</v>
      </c>
      <c r="R60" t="str">
        <f>'HAULING RATES- ODOT Locations'!$A$50</f>
        <v>District 4</v>
      </c>
      <c r="S60" t="str">
        <f>'HAULING RATES- ODOT Locations'!A74</f>
        <v>Summit</v>
      </c>
      <c r="T60" t="str">
        <f>'HAULING RATES- ODOT Locations'!B74</f>
        <v>Kelly Ave. OP, 1240 Starlight Dr., Akron, OH  44306</v>
      </c>
      <c r="U60" t="str">
        <f>'HAULING RATES- ODOT Locations'!C$8</f>
        <v>Stone</v>
      </c>
      <c r="V60" s="146">
        <f>'HAULING RATES- ODOT Locations'!C74</f>
        <v>0</v>
      </c>
      <c r="W60" s="131" t="str">
        <f>+'Aggregate, Plant Pick-up'!$C$6</f>
        <v>LAFARGE-MARBLEHEAD "OSBORNE-CLEVELAND"</v>
      </c>
      <c r="X60" s="131" t="str">
        <f>+Plant_Information!$B$10</f>
        <v>04105-28</v>
      </c>
      <c r="Y60" s="131" t="str">
        <f>+Plant_Information!$B$11</f>
        <v>2100 CENTRAL FURNACE ROAD</v>
      </c>
      <c r="Z60" s="131" t="str">
        <f>+Plant_Information!$B$12</f>
        <v>CLEVELAND, OH, 44115</v>
      </c>
      <c r="AA60" s="131" t="str">
        <f>+Plant_Information!$B$13</f>
        <v>12</v>
      </c>
      <c r="AB60" s="131" t="str">
        <f>+Plant_Information!$B$14</f>
        <v>CUY</v>
      </c>
      <c r="AC60" s="70"/>
    </row>
    <row r="61" spans="2:51" x14ac:dyDescent="0.2">
      <c r="B61" t="str">
        <f>+'Aggregate, Plant Pick-up'!$C$5</f>
        <v>Complete on PLANT INFORMATION TAB</v>
      </c>
      <c r="C61" t="str">
        <f>+'Aggregate, Plant Pick-up'!$C$6</f>
        <v>LAFARGE-MARBLEHEAD "OSBORNE-CLEVELAND"</v>
      </c>
      <c r="D61" t="str">
        <f>+Plant_Information!$B$10</f>
        <v>04105-28</v>
      </c>
      <c r="E61" t="str">
        <f>+Plant_Information!$B$11</f>
        <v>2100 CENTRAL FURNACE ROAD</v>
      </c>
      <c r="F61" t="str">
        <f>+Plant_Information!$B$12</f>
        <v>CLEVELAND, OH, 44115</v>
      </c>
      <c r="G61" t="str">
        <f>+Plant_Information!$B$13</f>
        <v>12</v>
      </c>
      <c r="H61" s="75" t="str">
        <f>+Plant_Information!$B$14</f>
        <v>CUY</v>
      </c>
      <c r="I61" t="str">
        <f>+'Aggregate, Plant Pick-up'!H$7</f>
        <v>Stone</v>
      </c>
      <c r="J61" t="str">
        <f>CONCATENATE('Aggregate, Plant Pick-up'!F30," ( ",'Aggregate, Plant Pick-up'!G33," )")</f>
        <v>No. 67 ( 422.02 )</v>
      </c>
      <c r="K61" s="70">
        <f>+'Aggregate, Plant Pick-up'!H33</f>
        <v>0</v>
      </c>
      <c r="Q61" t="str">
        <f>Plant_Information!$B$6</f>
        <v>(INSERT VENDOR NAME HERE)</v>
      </c>
      <c r="R61" t="str">
        <f>'HAULING RATES- ODOT Locations'!$A$50</f>
        <v>District 4</v>
      </c>
      <c r="S61" t="str">
        <f>'HAULING RATES- ODOT Locations'!A75</f>
        <v>Trumbull</v>
      </c>
      <c r="T61" t="str">
        <f>'HAULING RATES- ODOT Locations'!B75</f>
        <v>Brookfield OP, 1590 Brookfield Rd. S.E. (SR 7), Hubbard, OH   44425</v>
      </c>
      <c r="U61" t="str">
        <f>'HAULING RATES- ODOT Locations'!C$8</f>
        <v>Stone</v>
      </c>
      <c r="V61" s="146">
        <f>'HAULING RATES- ODOT Locations'!C75</f>
        <v>0</v>
      </c>
      <c r="W61" s="131" t="str">
        <f>+'Aggregate, Plant Pick-up'!$C$6</f>
        <v>LAFARGE-MARBLEHEAD "OSBORNE-CLEVELAND"</v>
      </c>
      <c r="X61" s="131" t="str">
        <f>+Plant_Information!$B$10</f>
        <v>04105-28</v>
      </c>
      <c r="Y61" s="131" t="str">
        <f>+Plant_Information!$B$11</f>
        <v>2100 CENTRAL FURNACE ROAD</v>
      </c>
      <c r="Z61" s="131" t="str">
        <f>+Plant_Information!$B$12</f>
        <v>CLEVELAND, OH, 44115</v>
      </c>
      <c r="AA61" s="131" t="str">
        <f>+Plant_Information!$B$13</f>
        <v>12</v>
      </c>
      <c r="AB61" s="131" t="str">
        <f>+Plant_Information!$B$14</f>
        <v>CUY</v>
      </c>
      <c r="AC61" s="70"/>
      <c r="AW61" s="237"/>
      <c r="AX61" s="237"/>
      <c r="AY61" s="237"/>
    </row>
    <row r="62" spans="2:51" x14ac:dyDescent="0.2">
      <c r="B62" t="str">
        <f>+'Aggregate, Plant Pick-up'!$C$5</f>
        <v>Complete on PLANT INFORMATION TAB</v>
      </c>
      <c r="C62" t="str">
        <f>+'Aggregate, Plant Pick-up'!$C$6</f>
        <v>LAFARGE-MARBLEHEAD "OSBORNE-CLEVELAND"</v>
      </c>
      <c r="D62" t="str">
        <f>+Plant_Information!$B$10</f>
        <v>04105-28</v>
      </c>
      <c r="E62" t="str">
        <f>+Plant_Information!$B$11</f>
        <v>2100 CENTRAL FURNACE ROAD</v>
      </c>
      <c r="F62" t="str">
        <f>+Plant_Information!$B$12</f>
        <v>CLEVELAND, OH, 44115</v>
      </c>
      <c r="G62" t="str">
        <f>+Plant_Information!$B$13</f>
        <v>12</v>
      </c>
      <c r="H62" s="75" t="str">
        <f>+Plant_Information!$B$14</f>
        <v>CUY</v>
      </c>
      <c r="I62" t="str">
        <f>+'Aggregate, Plant Pick-up'!H$7</f>
        <v>Stone</v>
      </c>
      <c r="J62" t="str">
        <f>CONCATENATE('Aggregate, Plant Pick-up'!F34," ( ",'Aggregate, Plant Pick-up'!G34," )")</f>
        <v>No. 8 ( 703.02 )</v>
      </c>
      <c r="K62" s="70">
        <f>+'Aggregate, Plant Pick-up'!H34</f>
        <v>19.3</v>
      </c>
      <c r="Q62" t="str">
        <f>Plant_Information!$B$6</f>
        <v>(INSERT VENDOR NAME HERE)</v>
      </c>
      <c r="R62" t="str">
        <f>'HAULING RATES- ODOT Locations'!$A$50</f>
        <v>District 4</v>
      </c>
      <c r="S62" t="str">
        <f>'HAULING RATES- ODOT Locations'!A76</f>
        <v>Trumbull</v>
      </c>
      <c r="T62" t="str">
        <f>'HAULING RATES- ODOT Locations'!B76</f>
        <v>310 Second St., Cortland, OH   44410</v>
      </c>
      <c r="U62" t="str">
        <f>'HAULING RATES- ODOT Locations'!C$8</f>
        <v>Stone</v>
      </c>
      <c r="V62" s="146">
        <f>'HAULING RATES- ODOT Locations'!C76</f>
        <v>0</v>
      </c>
      <c r="W62" s="131" t="str">
        <f>+'Aggregate, Plant Pick-up'!$C$6</f>
        <v>LAFARGE-MARBLEHEAD "OSBORNE-CLEVELAND"</v>
      </c>
      <c r="X62" s="131" t="str">
        <f>+Plant_Information!$B$10</f>
        <v>04105-28</v>
      </c>
      <c r="Y62" s="131" t="str">
        <f>+Plant_Information!$B$11</f>
        <v>2100 CENTRAL FURNACE ROAD</v>
      </c>
      <c r="Z62" s="131" t="str">
        <f>+Plant_Information!$B$12</f>
        <v>CLEVELAND, OH, 44115</v>
      </c>
      <c r="AA62" s="131" t="str">
        <f>+Plant_Information!$B$13</f>
        <v>12</v>
      </c>
      <c r="AB62" s="131" t="str">
        <f>+Plant_Information!$B$14</f>
        <v>CUY</v>
      </c>
      <c r="AC62" s="70"/>
    </row>
    <row r="63" spans="2:51" x14ac:dyDescent="0.2">
      <c r="B63" t="str">
        <f>+'Aggregate, Plant Pick-up'!$C$5</f>
        <v>Complete on PLANT INFORMATION TAB</v>
      </c>
      <c r="C63" t="str">
        <f>+'Aggregate, Plant Pick-up'!$C$6</f>
        <v>LAFARGE-MARBLEHEAD "OSBORNE-CLEVELAND"</v>
      </c>
      <c r="D63" t="str">
        <f>+Plant_Information!$B$10</f>
        <v>04105-28</v>
      </c>
      <c r="E63" t="str">
        <f>+Plant_Information!$B$11</f>
        <v>2100 CENTRAL FURNACE ROAD</v>
      </c>
      <c r="F63" t="str">
        <f>+Plant_Information!$B$12</f>
        <v>CLEVELAND, OH, 44115</v>
      </c>
      <c r="G63" t="str">
        <f>+Plant_Information!$B$13</f>
        <v>12</v>
      </c>
      <c r="H63" s="75" t="str">
        <f>+Plant_Information!$B$14</f>
        <v>CUY</v>
      </c>
      <c r="I63" t="str">
        <f>+'Aggregate, Plant Pick-up'!H$7</f>
        <v>Stone</v>
      </c>
      <c r="J63" t="str">
        <f>CONCATENATE('Aggregate, Plant Pick-up'!F34," ( ",'Aggregate, Plant Pick-up'!G35," )")</f>
        <v>No. 8 ( 703.04 )</v>
      </c>
      <c r="K63" s="70">
        <f>+'Aggregate, Plant Pick-up'!H35</f>
        <v>0</v>
      </c>
      <c r="Q63" t="str">
        <f>Plant_Information!$B$6</f>
        <v>(INSERT VENDOR NAME HERE)</v>
      </c>
      <c r="R63" t="str">
        <f>'HAULING RATES- ODOT Locations'!$A$50</f>
        <v>District 4</v>
      </c>
      <c r="S63" t="str">
        <f>'HAULING RATES- ODOT Locations'!A77</f>
        <v>Trumbull</v>
      </c>
      <c r="T63" t="str">
        <f>'HAULING RATES- ODOT Locations'!B77</f>
        <v>Gustavus OP, 2979 Kinsman Rd., North Bloomfield, OH 44450</v>
      </c>
      <c r="U63" t="str">
        <f>'HAULING RATES- ODOT Locations'!C$8</f>
        <v>Stone</v>
      </c>
      <c r="V63" s="146">
        <f>'HAULING RATES- ODOT Locations'!C77</f>
        <v>0</v>
      </c>
      <c r="W63" s="131" t="str">
        <f>+'Aggregate, Plant Pick-up'!$C$6</f>
        <v>LAFARGE-MARBLEHEAD "OSBORNE-CLEVELAND"</v>
      </c>
      <c r="X63" s="131" t="str">
        <f>+Plant_Information!$B$10</f>
        <v>04105-28</v>
      </c>
      <c r="Y63" s="131" t="str">
        <f>+Plant_Information!$B$11</f>
        <v>2100 CENTRAL FURNACE ROAD</v>
      </c>
      <c r="Z63" s="131" t="str">
        <f>+Plant_Information!$B$12</f>
        <v>CLEVELAND, OH, 44115</v>
      </c>
      <c r="AA63" s="131" t="str">
        <f>+Plant_Information!$B$13</f>
        <v>12</v>
      </c>
      <c r="AB63" s="131" t="str">
        <f>+Plant_Information!$B$14</f>
        <v>CUY</v>
      </c>
      <c r="AC63" s="70"/>
    </row>
    <row r="64" spans="2:51" x14ac:dyDescent="0.2">
      <c r="B64" t="str">
        <f>+'Aggregate, Plant Pick-up'!$C$5</f>
        <v>Complete on PLANT INFORMATION TAB</v>
      </c>
      <c r="C64" t="str">
        <f>+'Aggregate, Plant Pick-up'!$C$6</f>
        <v>LAFARGE-MARBLEHEAD "OSBORNE-CLEVELAND"</v>
      </c>
      <c r="D64" t="str">
        <f>+Plant_Information!$B$10</f>
        <v>04105-28</v>
      </c>
      <c r="E64" t="str">
        <f>+Plant_Information!$B$11</f>
        <v>2100 CENTRAL FURNACE ROAD</v>
      </c>
      <c r="F64" t="str">
        <f>+Plant_Information!$B$12</f>
        <v>CLEVELAND, OH, 44115</v>
      </c>
      <c r="G64" t="str">
        <f>+Plant_Information!$B$13</f>
        <v>12</v>
      </c>
      <c r="H64" s="75" t="str">
        <f>+Plant_Information!$B$14</f>
        <v>CUY</v>
      </c>
      <c r="I64" t="str">
        <f>+'Aggregate, Plant Pick-up'!H$7</f>
        <v>Stone</v>
      </c>
      <c r="J64" t="str">
        <f>CONCATENATE('Aggregate, Plant Pick-up'!F34," ( ",'Aggregate, Plant Pick-up'!G36," )")</f>
        <v>No. 8 ( 703.05 )</v>
      </c>
      <c r="K64" s="70">
        <f>+'Aggregate, Plant Pick-up'!H36</f>
        <v>0</v>
      </c>
      <c r="Q64" t="str">
        <f>Plant_Information!$B$6</f>
        <v>(INSERT VENDOR NAME HERE)</v>
      </c>
      <c r="R64" t="str">
        <f>'HAULING RATES- ODOT Locations'!$A$50</f>
        <v>District 4</v>
      </c>
      <c r="S64" t="str">
        <f>'HAULING RATES- ODOT Locations'!A78</f>
        <v>Trumbull</v>
      </c>
      <c r="T64" t="str">
        <f>'HAULING RATES- ODOT Locations'!B78</f>
        <v>Farmington OP, 6265 SR 534, W. Farmington, OH  44491</v>
      </c>
      <c r="U64" t="str">
        <f>'HAULING RATES- ODOT Locations'!C$8</f>
        <v>Stone</v>
      </c>
      <c r="V64" s="146">
        <f>'HAULING RATES- ODOT Locations'!C78</f>
        <v>0</v>
      </c>
      <c r="W64" s="131" t="str">
        <f>+'Aggregate, Plant Pick-up'!$C$6</f>
        <v>LAFARGE-MARBLEHEAD "OSBORNE-CLEVELAND"</v>
      </c>
      <c r="X64" s="131" t="str">
        <f>+Plant_Information!$B$10</f>
        <v>04105-28</v>
      </c>
      <c r="Y64" s="131" t="str">
        <f>+Plant_Information!$B$11</f>
        <v>2100 CENTRAL FURNACE ROAD</v>
      </c>
      <c r="Z64" s="131" t="str">
        <f>+Plant_Information!$B$12</f>
        <v>CLEVELAND, OH, 44115</v>
      </c>
      <c r="AA64" s="131" t="str">
        <f>+Plant_Information!$B$13</f>
        <v>12</v>
      </c>
      <c r="AB64" s="131" t="str">
        <f>+Plant_Information!$B$14</f>
        <v>CUY</v>
      </c>
      <c r="AC64" s="70"/>
    </row>
    <row r="65" spans="2:29" x14ac:dyDescent="0.2">
      <c r="B65" t="str">
        <f>+'Aggregate, Plant Pick-up'!$C$5</f>
        <v>Complete on PLANT INFORMATION TAB</v>
      </c>
      <c r="C65" t="str">
        <f>+'Aggregate, Plant Pick-up'!$C$6</f>
        <v>LAFARGE-MARBLEHEAD "OSBORNE-CLEVELAND"</v>
      </c>
      <c r="D65" t="str">
        <f>+Plant_Information!$B$10</f>
        <v>04105-28</v>
      </c>
      <c r="E65" t="str">
        <f>+Plant_Information!$B$11</f>
        <v>2100 CENTRAL FURNACE ROAD</v>
      </c>
      <c r="F65" t="str">
        <f>+Plant_Information!$B$12</f>
        <v>CLEVELAND, OH, 44115</v>
      </c>
      <c r="G65" t="str">
        <f>+Plant_Information!$B$13</f>
        <v>12</v>
      </c>
      <c r="H65" s="75" t="str">
        <f>+Plant_Information!$B$14</f>
        <v>CUY</v>
      </c>
      <c r="I65" t="str">
        <f>+'Aggregate, Plant Pick-up'!H$7</f>
        <v>Stone</v>
      </c>
      <c r="J65" t="str">
        <f>CONCATENATE('Aggregate, Plant Pick-up'!F37," ( ",'Aggregate, Plant Pick-up'!G37," )")</f>
        <v>No. 9 ( 703.02 )</v>
      </c>
      <c r="K65" s="70">
        <f>+'Aggregate, Plant Pick-up'!H37</f>
        <v>0</v>
      </c>
      <c r="Q65" t="str">
        <f>Plant_Information!$B$6</f>
        <v>(INSERT VENDOR NAME HERE)</v>
      </c>
      <c r="R65" t="str">
        <f>'HAULING RATES- ODOT Locations'!$A$50</f>
        <v>District 4</v>
      </c>
      <c r="S65" t="str">
        <f>'HAULING RATES- ODOT Locations'!A79</f>
        <v>Trumbull</v>
      </c>
      <c r="T65" t="str">
        <f>'HAULING RATES- ODOT Locations'!B79</f>
        <v>Warren OP, SR 5 &amp; Diehl S., Leavittsburg, OH   44430</v>
      </c>
      <c r="U65" t="str">
        <f>'HAULING RATES- ODOT Locations'!C$8</f>
        <v>Stone</v>
      </c>
      <c r="V65" s="146">
        <f>'HAULING RATES- ODOT Locations'!C79</f>
        <v>0</v>
      </c>
      <c r="W65" s="131" t="str">
        <f>+'Aggregate, Plant Pick-up'!$C$6</f>
        <v>LAFARGE-MARBLEHEAD "OSBORNE-CLEVELAND"</v>
      </c>
      <c r="X65" s="131" t="str">
        <f>+Plant_Information!$B$10</f>
        <v>04105-28</v>
      </c>
      <c r="Y65" s="131" t="str">
        <f>+Plant_Information!$B$11</f>
        <v>2100 CENTRAL FURNACE ROAD</v>
      </c>
      <c r="Z65" s="131" t="str">
        <f>+Plant_Information!$B$12</f>
        <v>CLEVELAND, OH, 44115</v>
      </c>
      <c r="AA65" s="131" t="str">
        <f>+Plant_Information!$B$13</f>
        <v>12</v>
      </c>
      <c r="AB65" s="131" t="str">
        <f>+Plant_Information!$B$14</f>
        <v>CUY</v>
      </c>
      <c r="AC65" s="70"/>
    </row>
    <row r="66" spans="2:29" x14ac:dyDescent="0.2">
      <c r="B66" t="str">
        <f>+'Aggregate, Plant Pick-up'!$C$5</f>
        <v>Complete on PLANT INFORMATION TAB</v>
      </c>
      <c r="C66" t="str">
        <f>+'Aggregate, Plant Pick-up'!$C$6</f>
        <v>LAFARGE-MARBLEHEAD "OSBORNE-CLEVELAND"</v>
      </c>
      <c r="D66" t="str">
        <f>+Plant_Information!$B$10</f>
        <v>04105-28</v>
      </c>
      <c r="E66" t="str">
        <f>+Plant_Information!$B$11</f>
        <v>2100 CENTRAL FURNACE ROAD</v>
      </c>
      <c r="F66" t="str">
        <f>+Plant_Information!$B$12</f>
        <v>CLEVELAND, OH, 44115</v>
      </c>
      <c r="G66" t="str">
        <f>+Plant_Information!$B$13</f>
        <v>12</v>
      </c>
      <c r="H66" s="75" t="str">
        <f>+Plant_Information!$B$14</f>
        <v>CUY</v>
      </c>
      <c r="I66" t="str">
        <f>+'Aggregate, Plant Pick-up'!H$7</f>
        <v>Stone</v>
      </c>
      <c r="J66" t="str">
        <f>CONCATENATE('Aggregate, Plant Pick-up'!F37," ( ",'Aggregate, Plant Pick-up'!G38," )")</f>
        <v>No. 9 ( 703.04 )</v>
      </c>
      <c r="K66" s="70">
        <f>+'Aggregate, Plant Pick-up'!H38</f>
        <v>0</v>
      </c>
      <c r="Q66" t="str">
        <f>Plant_Information!$B$6</f>
        <v>(INSERT VENDOR NAME HERE)</v>
      </c>
      <c r="R66" t="str">
        <f>'HAULING RATES- ODOT Locations'!$A$80</f>
        <v>District 5</v>
      </c>
      <c r="S66" t="str">
        <f>'HAULING RATES- ODOT Locations'!A83</f>
        <v>Coshocton</v>
      </c>
      <c r="T66" t="str">
        <f>'HAULING RATES- ODOT Locations'!B83</f>
        <v>233 Rivercrest Dr., Coshocton, OH 43812</v>
      </c>
      <c r="U66" t="str">
        <f>'HAULING RATES- ODOT Locations'!C$8</f>
        <v>Stone</v>
      </c>
      <c r="V66" s="146">
        <f>'HAULING RATES- ODOT Locations'!C83</f>
        <v>0</v>
      </c>
      <c r="W66" s="131" t="str">
        <f>+'Aggregate, Plant Pick-up'!$C$6</f>
        <v>LAFARGE-MARBLEHEAD "OSBORNE-CLEVELAND"</v>
      </c>
      <c r="X66" s="131" t="str">
        <f>+Plant_Information!$B$10</f>
        <v>04105-28</v>
      </c>
      <c r="Y66" s="131" t="str">
        <f>+Plant_Information!$B$11</f>
        <v>2100 CENTRAL FURNACE ROAD</v>
      </c>
      <c r="Z66" s="131" t="str">
        <f>+Plant_Information!$B$12</f>
        <v>CLEVELAND, OH, 44115</v>
      </c>
      <c r="AA66" s="131" t="str">
        <f>+Plant_Information!$B$13</f>
        <v>12</v>
      </c>
      <c r="AB66" s="131" t="str">
        <f>+Plant_Information!$B$14</f>
        <v>CUY</v>
      </c>
      <c r="AC66" s="70"/>
    </row>
    <row r="67" spans="2:29" x14ac:dyDescent="0.2">
      <c r="B67" t="str">
        <f>+'Aggregate, Plant Pick-up'!$C$5</f>
        <v>Complete on PLANT INFORMATION TAB</v>
      </c>
      <c r="C67" t="str">
        <f>+'Aggregate, Plant Pick-up'!$C$6</f>
        <v>LAFARGE-MARBLEHEAD "OSBORNE-CLEVELAND"</v>
      </c>
      <c r="D67" t="str">
        <f>+Plant_Information!$B$10</f>
        <v>04105-28</v>
      </c>
      <c r="E67" t="str">
        <f>+Plant_Information!$B$11</f>
        <v>2100 CENTRAL FURNACE ROAD</v>
      </c>
      <c r="F67" t="str">
        <f>+Plant_Information!$B$12</f>
        <v>CLEVELAND, OH, 44115</v>
      </c>
      <c r="G67" t="str">
        <f>+Plant_Information!$B$13</f>
        <v>12</v>
      </c>
      <c r="H67" s="75" t="str">
        <f>+Plant_Information!$B$14</f>
        <v>CUY</v>
      </c>
      <c r="I67" t="str">
        <f>+'Aggregate, Plant Pick-up'!H$7</f>
        <v>Stone</v>
      </c>
      <c r="J67" t="str">
        <f>CONCATENATE('Aggregate, Plant Pick-up'!F37," ( ",'Aggregate, Plant Pick-up'!G39," )")</f>
        <v>No. 9 ( 703.05 )</v>
      </c>
      <c r="K67" s="70">
        <f>+'Aggregate, Plant Pick-up'!H39</f>
        <v>0</v>
      </c>
      <c r="Q67" t="str">
        <f>Plant_Information!$B$6</f>
        <v>(INSERT VENDOR NAME HERE)</v>
      </c>
      <c r="R67" t="str">
        <f>'HAULING RATES- ODOT Locations'!$A$80</f>
        <v>District 5</v>
      </c>
      <c r="S67" t="str">
        <f>'HAULING RATES- ODOT Locations'!A84</f>
        <v>Coshocton</v>
      </c>
      <c r="T67" t="str">
        <f>'HAULING RATES- ODOT Locations'!B84</f>
        <v>25939 SR 206, New Castle, OH 43843</v>
      </c>
      <c r="U67" t="str">
        <f>'HAULING RATES- ODOT Locations'!C$8</f>
        <v>Stone</v>
      </c>
      <c r="V67" s="146">
        <f>'HAULING RATES- ODOT Locations'!C84</f>
        <v>0</v>
      </c>
      <c r="W67" s="131" t="str">
        <f>+'Aggregate, Plant Pick-up'!$C$6</f>
        <v>LAFARGE-MARBLEHEAD "OSBORNE-CLEVELAND"</v>
      </c>
      <c r="X67" s="131" t="str">
        <f>+Plant_Information!$B$10</f>
        <v>04105-28</v>
      </c>
      <c r="Y67" s="131" t="str">
        <f>+Plant_Information!$B$11</f>
        <v>2100 CENTRAL FURNACE ROAD</v>
      </c>
      <c r="Z67" s="131" t="str">
        <f>+Plant_Information!$B$12</f>
        <v>CLEVELAND, OH, 44115</v>
      </c>
      <c r="AA67" s="131" t="str">
        <f>+Plant_Information!$B$13</f>
        <v>12</v>
      </c>
      <c r="AB67" s="131" t="str">
        <f>+Plant_Information!$B$14</f>
        <v>CUY</v>
      </c>
      <c r="AC67" s="70"/>
    </row>
    <row r="68" spans="2:29" x14ac:dyDescent="0.2">
      <c r="B68" t="str">
        <f>+'Aggregate, Plant Pick-up'!$C$5</f>
        <v>Complete on PLANT INFORMATION TAB</v>
      </c>
      <c r="C68" t="str">
        <f>+'Aggregate, Plant Pick-up'!$C$6</f>
        <v>LAFARGE-MARBLEHEAD "OSBORNE-CLEVELAND"</v>
      </c>
      <c r="D68" t="str">
        <f>+Plant_Information!$B$10</f>
        <v>04105-28</v>
      </c>
      <c r="E68" t="str">
        <f>+Plant_Information!$B$11</f>
        <v>2100 CENTRAL FURNACE ROAD</v>
      </c>
      <c r="F68" t="str">
        <f>+Plant_Information!$B$12</f>
        <v>CLEVELAND, OH, 44115</v>
      </c>
      <c r="G68" t="str">
        <f>+Plant_Information!$B$13</f>
        <v>12</v>
      </c>
      <c r="H68" s="75" t="str">
        <f>+Plant_Information!$B$14</f>
        <v>CUY</v>
      </c>
      <c r="I68" t="str">
        <f>+'Aggregate, Plant Pick-up'!I$7</f>
        <v>Slag*</v>
      </c>
      <c r="J68" t="str">
        <f>CONCATENATE('Aggregate, Plant Pick-up'!F9," ( ",'Aggregate, Plant Pick-up'!G9," )")</f>
        <v>No. 1 ( 703.02 )</v>
      </c>
      <c r="K68" s="70">
        <f>+'Aggregate, Plant Pick-up'!I9</f>
        <v>0</v>
      </c>
      <c r="Q68" t="str">
        <f>Plant_Information!$B$6</f>
        <v>(INSERT VENDOR NAME HERE)</v>
      </c>
      <c r="R68" t="str">
        <f>'HAULING RATES- ODOT Locations'!$A$80</f>
        <v>District 5</v>
      </c>
      <c r="S68" t="str">
        <f>'HAULING RATES- ODOT Locations'!A85</f>
        <v>Fairfield</v>
      </c>
      <c r="T68" t="str">
        <f>'HAULING RATES- ODOT Locations'!B85</f>
        <v>1894 West Market St., Baltimore, OH 43105</v>
      </c>
      <c r="U68" t="str">
        <f>'HAULING RATES- ODOT Locations'!C$8</f>
        <v>Stone</v>
      </c>
      <c r="V68" s="146">
        <f>'HAULING RATES- ODOT Locations'!C85</f>
        <v>0</v>
      </c>
      <c r="W68" s="131" t="str">
        <f>+'Aggregate, Plant Pick-up'!$C$6</f>
        <v>LAFARGE-MARBLEHEAD "OSBORNE-CLEVELAND"</v>
      </c>
      <c r="X68" s="131" t="str">
        <f>+Plant_Information!$B$10</f>
        <v>04105-28</v>
      </c>
      <c r="Y68" s="131" t="str">
        <f>+Plant_Information!$B$11</f>
        <v>2100 CENTRAL FURNACE ROAD</v>
      </c>
      <c r="Z68" s="131" t="str">
        <f>+Plant_Information!$B$12</f>
        <v>CLEVELAND, OH, 44115</v>
      </c>
      <c r="AA68" s="131" t="str">
        <f>+Plant_Information!$B$13</f>
        <v>12</v>
      </c>
      <c r="AB68" s="131" t="str">
        <f>+Plant_Information!$B$14</f>
        <v>CUY</v>
      </c>
      <c r="AC68" s="70"/>
    </row>
    <row r="69" spans="2:29" x14ac:dyDescent="0.2">
      <c r="B69" t="str">
        <f>+'Aggregate, Plant Pick-up'!$C$5</f>
        <v>Complete on PLANT INFORMATION TAB</v>
      </c>
      <c r="C69" t="str">
        <f>+'Aggregate, Plant Pick-up'!$C$6</f>
        <v>LAFARGE-MARBLEHEAD "OSBORNE-CLEVELAND"</v>
      </c>
      <c r="D69" t="str">
        <f>+Plant_Information!$B$10</f>
        <v>04105-28</v>
      </c>
      <c r="E69" t="str">
        <f>+Plant_Information!$B$11</f>
        <v>2100 CENTRAL FURNACE ROAD</v>
      </c>
      <c r="F69" t="str">
        <f>+Plant_Information!$B$12</f>
        <v>CLEVELAND, OH, 44115</v>
      </c>
      <c r="G69" t="str">
        <f>+Plant_Information!$B$13</f>
        <v>12</v>
      </c>
      <c r="H69" s="75" t="str">
        <f>+Plant_Information!$B$14</f>
        <v>CUY</v>
      </c>
      <c r="I69" t="str">
        <f>+'Aggregate, Plant Pick-up'!I$7</f>
        <v>Slag*</v>
      </c>
      <c r="J69" t="str">
        <f>CONCATENATE('Aggregate, Plant Pick-up'!F9," ( ",'Aggregate, Plant Pick-up'!G10," )")</f>
        <v>No. 1 ( 703.04 )</v>
      </c>
      <c r="K69" s="70">
        <f>+'Aggregate, Plant Pick-up'!I10</f>
        <v>0</v>
      </c>
      <c r="Q69" t="str">
        <f>Plant_Information!$B$6</f>
        <v>(INSERT VENDOR NAME HERE)</v>
      </c>
      <c r="R69" t="str">
        <f>'HAULING RATES- ODOT Locations'!$A$80</f>
        <v>District 5</v>
      </c>
      <c r="S69" t="str">
        <f>'HAULING RATES- ODOT Locations'!A86</f>
        <v>Fairfield</v>
      </c>
      <c r="T69" t="str">
        <f>'HAULING RATES- ODOT Locations'!B86</f>
        <v>3265 West Fair Avenue, Lancaster, OH 43130</v>
      </c>
      <c r="U69" t="str">
        <f>'HAULING RATES- ODOT Locations'!C$8</f>
        <v>Stone</v>
      </c>
      <c r="V69" s="146">
        <f>'HAULING RATES- ODOT Locations'!C86</f>
        <v>0</v>
      </c>
      <c r="W69" s="131" t="str">
        <f>+'Aggregate, Plant Pick-up'!$C$6</f>
        <v>LAFARGE-MARBLEHEAD "OSBORNE-CLEVELAND"</v>
      </c>
      <c r="X69" s="131" t="str">
        <f>+Plant_Information!$B$10</f>
        <v>04105-28</v>
      </c>
      <c r="Y69" s="131" t="str">
        <f>+Plant_Information!$B$11</f>
        <v>2100 CENTRAL FURNACE ROAD</v>
      </c>
      <c r="Z69" s="131" t="str">
        <f>+Plant_Information!$B$12</f>
        <v>CLEVELAND, OH, 44115</v>
      </c>
      <c r="AA69" s="131" t="str">
        <f>+Plant_Information!$B$13</f>
        <v>12</v>
      </c>
      <c r="AB69" s="131" t="str">
        <f>+Plant_Information!$B$14</f>
        <v>CUY</v>
      </c>
      <c r="AC69" s="70"/>
    </row>
    <row r="70" spans="2:29" x14ac:dyDescent="0.2">
      <c r="B70" t="str">
        <f>+'Aggregate, Plant Pick-up'!$C$5</f>
        <v>Complete on PLANT INFORMATION TAB</v>
      </c>
      <c r="C70" t="str">
        <f>+'Aggregate, Plant Pick-up'!$C$6</f>
        <v>LAFARGE-MARBLEHEAD "OSBORNE-CLEVELAND"</v>
      </c>
      <c r="D70" t="str">
        <f>+Plant_Information!$B$10</f>
        <v>04105-28</v>
      </c>
      <c r="E70" t="str">
        <f>+Plant_Information!$B$11</f>
        <v>2100 CENTRAL FURNACE ROAD</v>
      </c>
      <c r="F70" t="str">
        <f>+Plant_Information!$B$12</f>
        <v>CLEVELAND, OH, 44115</v>
      </c>
      <c r="G70" t="str">
        <f>+Plant_Information!$B$13</f>
        <v>12</v>
      </c>
      <c r="H70" s="75" t="str">
        <f>+Plant_Information!$B$14</f>
        <v>CUY</v>
      </c>
      <c r="I70" t="str">
        <f>+'Aggregate, Plant Pick-up'!I$7</f>
        <v>Slag*</v>
      </c>
      <c r="J70" t="str">
        <f>CONCATENATE('Aggregate, Plant Pick-up'!F9," ( ",'Aggregate, Plant Pick-up'!G11," )")</f>
        <v>No. 1 ( 703.05 )</v>
      </c>
      <c r="K70" s="70">
        <f>+'Aggregate, Plant Pick-up'!I11</f>
        <v>0</v>
      </c>
      <c r="Q70" t="str">
        <f>Plant_Information!$B$6</f>
        <v>(INSERT VENDOR NAME HERE)</v>
      </c>
      <c r="R70" t="str">
        <f>'HAULING RATES- ODOT Locations'!$A$80</f>
        <v>District 5</v>
      </c>
      <c r="S70" t="str">
        <f>'HAULING RATES- ODOT Locations'!A87</f>
        <v>Fairfield</v>
      </c>
      <c r="T70" t="str">
        <f>'HAULING RATES- ODOT Locations'!B87</f>
        <v>5840 Logan-Thornville Rd. NE, Rushville, OH 43150</v>
      </c>
      <c r="U70" t="str">
        <f>'HAULING RATES- ODOT Locations'!C$8</f>
        <v>Stone</v>
      </c>
      <c r="V70" s="146">
        <f>'HAULING RATES- ODOT Locations'!C87</f>
        <v>0</v>
      </c>
      <c r="W70" s="131" t="str">
        <f>+'Aggregate, Plant Pick-up'!$C$6</f>
        <v>LAFARGE-MARBLEHEAD "OSBORNE-CLEVELAND"</v>
      </c>
      <c r="X70" s="131" t="str">
        <f>+Plant_Information!$B$10</f>
        <v>04105-28</v>
      </c>
      <c r="Y70" s="131" t="str">
        <f>+Plant_Information!$B$11</f>
        <v>2100 CENTRAL FURNACE ROAD</v>
      </c>
      <c r="Z70" s="131" t="str">
        <f>+Plant_Information!$B$12</f>
        <v>CLEVELAND, OH, 44115</v>
      </c>
      <c r="AA70" s="131" t="str">
        <f>+Plant_Information!$B$13</f>
        <v>12</v>
      </c>
      <c r="AB70" s="131" t="str">
        <f>+Plant_Information!$B$14</f>
        <v>CUY</v>
      </c>
      <c r="AC70" s="70"/>
    </row>
    <row r="71" spans="2:29" x14ac:dyDescent="0.2">
      <c r="B71" t="str">
        <f>+'Aggregate, Plant Pick-up'!$C$5</f>
        <v>Complete on PLANT INFORMATION TAB</v>
      </c>
      <c r="C71" t="str">
        <f>+'Aggregate, Plant Pick-up'!$C$6</f>
        <v>LAFARGE-MARBLEHEAD "OSBORNE-CLEVELAND"</v>
      </c>
      <c r="D71" t="str">
        <f>+Plant_Information!$B$10</f>
        <v>04105-28</v>
      </c>
      <c r="E71" t="str">
        <f>+Plant_Information!$B$11</f>
        <v>2100 CENTRAL FURNACE ROAD</v>
      </c>
      <c r="F71" t="str">
        <f>+Plant_Information!$B$12</f>
        <v>CLEVELAND, OH, 44115</v>
      </c>
      <c r="G71" t="str">
        <f>+Plant_Information!$B$13</f>
        <v>12</v>
      </c>
      <c r="H71" s="75" t="str">
        <f>+Plant_Information!$B$14</f>
        <v>CUY</v>
      </c>
      <c r="I71" t="str">
        <f>+'Aggregate, Plant Pick-up'!I$7</f>
        <v>Slag*</v>
      </c>
      <c r="J71" t="str">
        <f>CONCATENATE('Aggregate, Plant Pick-up'!F12," ( ",'Aggregate, Plant Pick-up'!G12," )")</f>
        <v>No. 2 ( 703.02 )</v>
      </c>
      <c r="K71" s="70">
        <f>+'Aggregate, Plant Pick-up'!I12</f>
        <v>0</v>
      </c>
      <c r="Q71" t="str">
        <f>Plant_Information!$B$6</f>
        <v>(INSERT VENDOR NAME HERE)</v>
      </c>
      <c r="R71" t="str">
        <f>'HAULING RATES- ODOT Locations'!$A$80</f>
        <v>District 5</v>
      </c>
      <c r="S71" t="str">
        <f>'HAULING RATES- ODOT Locations'!A88</f>
        <v>Guernsey</v>
      </c>
      <c r="T71" t="str">
        <f>'HAULING RATES- ODOT Locations'!B88</f>
        <v>6490 Glenn Highway, Cambridge, OH 43725</v>
      </c>
      <c r="U71" t="str">
        <f>'HAULING RATES- ODOT Locations'!C$8</f>
        <v>Stone</v>
      </c>
      <c r="V71" s="146">
        <f>'HAULING RATES- ODOT Locations'!C88</f>
        <v>0</v>
      </c>
      <c r="W71" s="131" t="str">
        <f>+'Aggregate, Plant Pick-up'!$C$6</f>
        <v>LAFARGE-MARBLEHEAD "OSBORNE-CLEVELAND"</v>
      </c>
      <c r="X71" s="131" t="str">
        <f>+Plant_Information!$B$10</f>
        <v>04105-28</v>
      </c>
      <c r="Y71" s="131" t="str">
        <f>+Plant_Information!$B$11</f>
        <v>2100 CENTRAL FURNACE ROAD</v>
      </c>
      <c r="Z71" s="131" t="str">
        <f>+Plant_Information!$B$12</f>
        <v>CLEVELAND, OH, 44115</v>
      </c>
      <c r="AA71" s="131" t="str">
        <f>+Plant_Information!$B$13</f>
        <v>12</v>
      </c>
      <c r="AB71" s="131" t="str">
        <f>+Plant_Information!$B$14</f>
        <v>CUY</v>
      </c>
      <c r="AC71" s="70"/>
    </row>
    <row r="72" spans="2:29" x14ac:dyDescent="0.2">
      <c r="B72" t="str">
        <f>+'Aggregate, Plant Pick-up'!$C$5</f>
        <v>Complete on PLANT INFORMATION TAB</v>
      </c>
      <c r="C72" t="str">
        <f>+'Aggregate, Plant Pick-up'!$C$6</f>
        <v>LAFARGE-MARBLEHEAD "OSBORNE-CLEVELAND"</v>
      </c>
      <c r="D72" t="str">
        <f>+Plant_Information!$B$10</f>
        <v>04105-28</v>
      </c>
      <c r="E72" t="str">
        <f>+Plant_Information!$B$11</f>
        <v>2100 CENTRAL FURNACE ROAD</v>
      </c>
      <c r="F72" t="str">
        <f>+Plant_Information!$B$12</f>
        <v>CLEVELAND, OH, 44115</v>
      </c>
      <c r="G72" t="str">
        <f>+Plant_Information!$B$13</f>
        <v>12</v>
      </c>
      <c r="H72" s="75" t="str">
        <f>+Plant_Information!$B$14</f>
        <v>CUY</v>
      </c>
      <c r="I72" t="str">
        <f>+'Aggregate, Plant Pick-up'!I$7</f>
        <v>Slag*</v>
      </c>
      <c r="J72" t="str">
        <f>CONCATENATE('Aggregate, Plant Pick-up'!F12," ( ",'Aggregate, Plant Pick-up'!G13," )")</f>
        <v>No. 2 ( 703.04 )</v>
      </c>
      <c r="K72" s="70">
        <f>+'Aggregate, Plant Pick-up'!I13</f>
        <v>0</v>
      </c>
      <c r="Q72" t="str">
        <f>Plant_Information!$B$6</f>
        <v>(INSERT VENDOR NAME HERE)</v>
      </c>
      <c r="R72" t="str">
        <f>'HAULING RATES- ODOT Locations'!$A$80</f>
        <v>District 5</v>
      </c>
      <c r="S72" t="str">
        <f>'HAULING RATES- ODOT Locations'!A89</f>
        <v>Guernsey</v>
      </c>
      <c r="T72" t="str">
        <f>'HAULING RATES- ODOT Locations'!B89</f>
        <v>North Salem OP, 72450 Old 21 Rd., Kimbolton, OH 43749</v>
      </c>
      <c r="U72" t="str">
        <f>'HAULING RATES- ODOT Locations'!C$8</f>
        <v>Stone</v>
      </c>
      <c r="V72" s="146">
        <f>'HAULING RATES- ODOT Locations'!C89</f>
        <v>0</v>
      </c>
      <c r="W72" s="131" t="str">
        <f>+'Aggregate, Plant Pick-up'!$C$6</f>
        <v>LAFARGE-MARBLEHEAD "OSBORNE-CLEVELAND"</v>
      </c>
      <c r="X72" s="131" t="str">
        <f>+Plant_Information!$B$10</f>
        <v>04105-28</v>
      </c>
      <c r="Y72" s="131" t="str">
        <f>+Plant_Information!$B$11</f>
        <v>2100 CENTRAL FURNACE ROAD</v>
      </c>
      <c r="Z72" s="131" t="str">
        <f>+Plant_Information!$B$12</f>
        <v>CLEVELAND, OH, 44115</v>
      </c>
      <c r="AA72" s="131" t="str">
        <f>+Plant_Information!$B$13</f>
        <v>12</v>
      </c>
      <c r="AB72" s="131" t="str">
        <f>+Plant_Information!$B$14</f>
        <v>CUY</v>
      </c>
      <c r="AC72" s="70"/>
    </row>
    <row r="73" spans="2:29" x14ac:dyDescent="0.2">
      <c r="B73" t="str">
        <f>+'Aggregate, Plant Pick-up'!$C$5</f>
        <v>Complete on PLANT INFORMATION TAB</v>
      </c>
      <c r="C73" t="str">
        <f>+'Aggregate, Plant Pick-up'!$C$6</f>
        <v>LAFARGE-MARBLEHEAD "OSBORNE-CLEVELAND"</v>
      </c>
      <c r="D73" t="str">
        <f>+Plant_Information!$B$10</f>
        <v>04105-28</v>
      </c>
      <c r="E73" t="str">
        <f>+Plant_Information!$B$11</f>
        <v>2100 CENTRAL FURNACE ROAD</v>
      </c>
      <c r="F73" t="str">
        <f>+Plant_Information!$B$12</f>
        <v>CLEVELAND, OH, 44115</v>
      </c>
      <c r="G73" t="str">
        <f>+Plant_Information!$B$13</f>
        <v>12</v>
      </c>
      <c r="H73" s="75" t="str">
        <f>+Plant_Information!$B$14</f>
        <v>CUY</v>
      </c>
      <c r="I73" t="str">
        <f>+'Aggregate, Plant Pick-up'!I$7</f>
        <v>Slag*</v>
      </c>
      <c r="J73" t="str">
        <f>CONCATENATE('Aggregate, Plant Pick-up'!F12," ( ",'Aggregate, Plant Pick-up'!G14," )")</f>
        <v>No. 2 ( 703.05 )</v>
      </c>
      <c r="K73" s="70">
        <f>+'Aggregate, Plant Pick-up'!I14</f>
        <v>0</v>
      </c>
      <c r="Q73" t="str">
        <f>Plant_Information!$B$6</f>
        <v>(INSERT VENDOR NAME HERE)</v>
      </c>
      <c r="R73" t="str">
        <f>'HAULING RATES- ODOT Locations'!$A$80</f>
        <v>District 5</v>
      </c>
      <c r="S73" t="str">
        <f>'HAULING RATES- ODOT Locations'!A90</f>
        <v>Guernsey</v>
      </c>
      <c r="T73" t="str">
        <f>'HAULING RATES- ODOT Locations'!B90</f>
        <v>Old Washington OP, 63064 Winter Green Rd., Lore City, OH 43755</v>
      </c>
      <c r="U73" t="str">
        <f>'HAULING RATES- ODOT Locations'!C$8</f>
        <v>Stone</v>
      </c>
      <c r="V73" s="146">
        <f>'HAULING RATES- ODOT Locations'!C90</f>
        <v>0</v>
      </c>
      <c r="W73" s="131" t="str">
        <f>+'Aggregate, Plant Pick-up'!$C$6</f>
        <v>LAFARGE-MARBLEHEAD "OSBORNE-CLEVELAND"</v>
      </c>
      <c r="X73" s="131" t="str">
        <f>+Plant_Information!$B$10</f>
        <v>04105-28</v>
      </c>
      <c r="Y73" s="131" t="str">
        <f>+Plant_Information!$B$11</f>
        <v>2100 CENTRAL FURNACE ROAD</v>
      </c>
      <c r="Z73" s="131" t="str">
        <f>+Plant_Information!$B$12</f>
        <v>CLEVELAND, OH, 44115</v>
      </c>
      <c r="AA73" s="131" t="str">
        <f>+Plant_Information!$B$13</f>
        <v>12</v>
      </c>
      <c r="AB73" s="131" t="str">
        <f>+Plant_Information!$B$14</f>
        <v>CUY</v>
      </c>
      <c r="AC73" s="70"/>
    </row>
    <row r="74" spans="2:29" x14ac:dyDescent="0.2">
      <c r="B74" t="str">
        <f>+'Aggregate, Plant Pick-up'!$C$5</f>
        <v>Complete on PLANT INFORMATION TAB</v>
      </c>
      <c r="C74" t="str">
        <f>+'Aggregate, Plant Pick-up'!$C$6</f>
        <v>LAFARGE-MARBLEHEAD "OSBORNE-CLEVELAND"</v>
      </c>
      <c r="D74" t="str">
        <f>+Plant_Information!$B$10</f>
        <v>04105-28</v>
      </c>
      <c r="E74" t="str">
        <f>+Plant_Information!$B$11</f>
        <v>2100 CENTRAL FURNACE ROAD</v>
      </c>
      <c r="F74" t="str">
        <f>+Plant_Information!$B$12</f>
        <v>CLEVELAND, OH, 44115</v>
      </c>
      <c r="G74" t="str">
        <f>+Plant_Information!$B$13</f>
        <v>12</v>
      </c>
      <c r="H74" s="75" t="str">
        <f>+Plant_Information!$B$14</f>
        <v>CUY</v>
      </c>
      <c r="I74" t="str">
        <f>+'Aggregate, Plant Pick-up'!I$7</f>
        <v>Slag*</v>
      </c>
      <c r="J74" t="str">
        <f>CONCATENATE('Aggregate, Plant Pick-up'!F15," ( ",'Aggregate, Plant Pick-up'!G15," )")</f>
        <v>No. 3 ( 703.02 )</v>
      </c>
      <c r="K74" s="70">
        <f>+'Aggregate, Plant Pick-up'!I15</f>
        <v>0</v>
      </c>
      <c r="Q74" t="str">
        <f>Plant_Information!$B$6</f>
        <v>(INSERT VENDOR NAME HERE)</v>
      </c>
      <c r="R74" t="str">
        <f>'HAULING RATES- ODOT Locations'!$A$80</f>
        <v>District 5</v>
      </c>
      <c r="S74" t="str">
        <f>'HAULING RATES- ODOT Locations'!A91</f>
        <v>Knox</v>
      </c>
      <c r="T74" t="str">
        <f>'HAULING RATES- ODOT Locations'!B91</f>
        <v>505 Harcourt Rd., Mt. Vernon, OH 43050</v>
      </c>
      <c r="U74" t="str">
        <f>'HAULING RATES- ODOT Locations'!C$8</f>
        <v>Stone</v>
      </c>
      <c r="V74" s="146">
        <f>'HAULING RATES- ODOT Locations'!C91</f>
        <v>0</v>
      </c>
      <c r="W74" s="131" t="str">
        <f>+'Aggregate, Plant Pick-up'!$C$6</f>
        <v>LAFARGE-MARBLEHEAD "OSBORNE-CLEVELAND"</v>
      </c>
      <c r="X74" s="131" t="str">
        <f>+Plant_Information!$B$10</f>
        <v>04105-28</v>
      </c>
      <c r="Y74" s="131" t="str">
        <f>+Plant_Information!$B$11</f>
        <v>2100 CENTRAL FURNACE ROAD</v>
      </c>
      <c r="Z74" s="131" t="str">
        <f>+Plant_Information!$B$12</f>
        <v>CLEVELAND, OH, 44115</v>
      </c>
      <c r="AA74" s="131" t="str">
        <f>+Plant_Information!$B$13</f>
        <v>12</v>
      </c>
      <c r="AB74" s="131" t="str">
        <f>+Plant_Information!$B$14</f>
        <v>CUY</v>
      </c>
      <c r="AC74" s="70"/>
    </row>
    <row r="75" spans="2:29" x14ac:dyDescent="0.2">
      <c r="B75" t="str">
        <f>+'Aggregate, Plant Pick-up'!$C$5</f>
        <v>Complete on PLANT INFORMATION TAB</v>
      </c>
      <c r="C75" t="str">
        <f>+'Aggregate, Plant Pick-up'!$C$6</f>
        <v>LAFARGE-MARBLEHEAD "OSBORNE-CLEVELAND"</v>
      </c>
      <c r="D75" t="str">
        <f>+Plant_Information!$B$10</f>
        <v>04105-28</v>
      </c>
      <c r="E75" t="str">
        <f>+Plant_Information!$B$11</f>
        <v>2100 CENTRAL FURNACE ROAD</v>
      </c>
      <c r="F75" t="str">
        <f>+Plant_Information!$B$12</f>
        <v>CLEVELAND, OH, 44115</v>
      </c>
      <c r="G75" t="str">
        <f>+Plant_Information!$B$13</f>
        <v>12</v>
      </c>
      <c r="H75" s="75" t="str">
        <f>+Plant_Information!$B$14</f>
        <v>CUY</v>
      </c>
      <c r="I75" t="str">
        <f>+'Aggregate, Plant Pick-up'!I$7</f>
        <v>Slag*</v>
      </c>
      <c r="J75" t="str">
        <f>CONCATENATE('Aggregate, Plant Pick-up'!F15," ( ",'Aggregate, Plant Pick-up'!G16," )")</f>
        <v>No. 3 ( 703.04 )</v>
      </c>
      <c r="K75" s="70">
        <f>+'Aggregate, Plant Pick-up'!I16</f>
        <v>0</v>
      </c>
      <c r="Q75" t="str">
        <f>Plant_Information!$B$6</f>
        <v>(INSERT VENDOR NAME HERE)</v>
      </c>
      <c r="R75" t="str">
        <f>'HAULING RATES- ODOT Locations'!$A$80</f>
        <v>District 5</v>
      </c>
      <c r="S75" t="str">
        <f>'HAULING RATES- ODOT Locations'!A92</f>
        <v>Knox</v>
      </c>
      <c r="T75" t="str">
        <f>'HAULING RATES- ODOT Locations'!B92</f>
        <v>44 Mt. Vernon Ave., Fredericktown, 43010</v>
      </c>
      <c r="U75" t="str">
        <f>'HAULING RATES- ODOT Locations'!C$8</f>
        <v>Stone</v>
      </c>
      <c r="V75" s="146">
        <f>'HAULING RATES- ODOT Locations'!C92</f>
        <v>0</v>
      </c>
      <c r="W75" s="131" t="str">
        <f>+'Aggregate, Plant Pick-up'!$C$6</f>
        <v>LAFARGE-MARBLEHEAD "OSBORNE-CLEVELAND"</v>
      </c>
      <c r="X75" s="131" t="str">
        <f>+Plant_Information!$B$10</f>
        <v>04105-28</v>
      </c>
      <c r="Y75" s="131" t="str">
        <f>+Plant_Information!$B$11</f>
        <v>2100 CENTRAL FURNACE ROAD</v>
      </c>
      <c r="Z75" s="131" t="str">
        <f>+Plant_Information!$B$12</f>
        <v>CLEVELAND, OH, 44115</v>
      </c>
      <c r="AA75" s="131" t="str">
        <f>+Plant_Information!$B$13</f>
        <v>12</v>
      </c>
      <c r="AB75" s="131" t="str">
        <f>+Plant_Information!$B$14</f>
        <v>CUY</v>
      </c>
      <c r="AC75" s="70"/>
    </row>
    <row r="76" spans="2:29" x14ac:dyDescent="0.2">
      <c r="B76" t="str">
        <f>+'Aggregate, Plant Pick-up'!$C$5</f>
        <v>Complete on PLANT INFORMATION TAB</v>
      </c>
      <c r="C76" t="str">
        <f>+'Aggregate, Plant Pick-up'!$C$6</f>
        <v>LAFARGE-MARBLEHEAD "OSBORNE-CLEVELAND"</v>
      </c>
      <c r="D76" t="str">
        <f>+Plant_Information!$B$10</f>
        <v>04105-28</v>
      </c>
      <c r="E76" t="str">
        <f>+Plant_Information!$B$11</f>
        <v>2100 CENTRAL FURNACE ROAD</v>
      </c>
      <c r="F76" t="str">
        <f>+Plant_Information!$B$12</f>
        <v>CLEVELAND, OH, 44115</v>
      </c>
      <c r="G76" t="str">
        <f>+Plant_Information!$B$13</f>
        <v>12</v>
      </c>
      <c r="H76" s="75" t="str">
        <f>+Plant_Information!$B$14</f>
        <v>CUY</v>
      </c>
      <c r="I76" t="str">
        <f>+'Aggregate, Plant Pick-up'!I$7</f>
        <v>Slag*</v>
      </c>
      <c r="J76" t="str">
        <f>CONCATENATE('Aggregate, Plant Pick-up'!F15," ( ",'Aggregate, Plant Pick-up'!G17," )")</f>
        <v>No. 3 ( 703.05 )</v>
      </c>
      <c r="K76" s="70">
        <f>+'Aggregate, Plant Pick-up'!I17</f>
        <v>0</v>
      </c>
      <c r="Q76" t="str">
        <f>Plant_Information!$B$6</f>
        <v>(INSERT VENDOR NAME HERE)</v>
      </c>
      <c r="R76" t="str">
        <f>'HAULING RATES- ODOT Locations'!$A$80</f>
        <v>District 5</v>
      </c>
      <c r="S76" t="str">
        <f>'HAULING RATES- ODOT Locations'!A93</f>
        <v>Licking</v>
      </c>
      <c r="T76" t="str">
        <f>'HAULING RATES- ODOT Locations'!B93</f>
        <v>9600 Jacksontown Rd., Jacksontown, OH 43030</v>
      </c>
      <c r="U76" t="str">
        <f>'HAULING RATES- ODOT Locations'!C$8</f>
        <v>Stone</v>
      </c>
      <c r="V76" s="146">
        <f>'HAULING RATES- ODOT Locations'!C93</f>
        <v>0</v>
      </c>
      <c r="W76" s="131" t="str">
        <f>+'Aggregate, Plant Pick-up'!$C$6</f>
        <v>LAFARGE-MARBLEHEAD "OSBORNE-CLEVELAND"</v>
      </c>
      <c r="X76" s="131" t="str">
        <f>+Plant_Information!$B$10</f>
        <v>04105-28</v>
      </c>
      <c r="Y76" s="131" t="str">
        <f>+Plant_Information!$B$11</f>
        <v>2100 CENTRAL FURNACE ROAD</v>
      </c>
      <c r="Z76" s="131" t="str">
        <f>+Plant_Information!$B$12</f>
        <v>CLEVELAND, OH, 44115</v>
      </c>
      <c r="AA76" s="131" t="str">
        <f>+Plant_Information!$B$13</f>
        <v>12</v>
      </c>
      <c r="AB76" s="131" t="str">
        <f>+Plant_Information!$B$14</f>
        <v>CUY</v>
      </c>
      <c r="AC76" s="70"/>
    </row>
    <row r="77" spans="2:29" x14ac:dyDescent="0.2">
      <c r="B77" t="str">
        <f>+'Aggregate, Plant Pick-up'!$C$5</f>
        <v>Complete on PLANT INFORMATION TAB</v>
      </c>
      <c r="C77" t="str">
        <f>+'Aggregate, Plant Pick-up'!$C$6</f>
        <v>LAFARGE-MARBLEHEAD "OSBORNE-CLEVELAND"</v>
      </c>
      <c r="D77" t="str">
        <f>+Plant_Information!$B$10</f>
        <v>04105-28</v>
      </c>
      <c r="E77" t="str">
        <f>+Plant_Information!$B$11</f>
        <v>2100 CENTRAL FURNACE ROAD</v>
      </c>
      <c r="F77" t="str">
        <f>+Plant_Information!$B$12</f>
        <v>CLEVELAND, OH, 44115</v>
      </c>
      <c r="G77" t="str">
        <f>+Plant_Information!$B$13</f>
        <v>12</v>
      </c>
      <c r="H77" s="75" t="str">
        <f>+Plant_Information!$B$14</f>
        <v>CUY</v>
      </c>
      <c r="I77" t="str">
        <f>+'Aggregate, Plant Pick-up'!I$7</f>
        <v>Slag*</v>
      </c>
      <c r="J77" t="str">
        <f>CONCATENATE('Aggregate, Plant Pick-up'!F18," ( ",'Aggregate, Plant Pick-up'!G18," )")</f>
        <v>No. 4 ( 703.02 )</v>
      </c>
      <c r="K77" s="70">
        <f>+'Aggregate, Plant Pick-up'!I18</f>
        <v>0</v>
      </c>
      <c r="Q77" t="str">
        <f>Plant_Information!$B$6</f>
        <v>(INSERT VENDOR NAME HERE)</v>
      </c>
      <c r="R77" t="str">
        <f>'HAULING RATES- ODOT Locations'!$A$80</f>
        <v>District 5</v>
      </c>
      <c r="S77" t="str">
        <f>'HAULING RATES- ODOT Locations'!A94</f>
        <v>Licking</v>
      </c>
      <c r="T77" t="str">
        <f>'HAULING RATES- ODOT Locations'!B94</f>
        <v>Etna OP, 10250 Refugee Rd., Pataskala, OH 43062</v>
      </c>
      <c r="U77" t="str">
        <f>'HAULING RATES- ODOT Locations'!C$8</f>
        <v>Stone</v>
      </c>
      <c r="V77" s="146">
        <f>'HAULING RATES- ODOT Locations'!C94</f>
        <v>0</v>
      </c>
      <c r="W77" s="131" t="str">
        <f>+'Aggregate, Plant Pick-up'!$C$6</f>
        <v>LAFARGE-MARBLEHEAD "OSBORNE-CLEVELAND"</v>
      </c>
      <c r="X77" s="131" t="str">
        <f>+Plant_Information!$B$10</f>
        <v>04105-28</v>
      </c>
      <c r="Y77" s="131" t="str">
        <f>+Plant_Information!$B$11</f>
        <v>2100 CENTRAL FURNACE ROAD</v>
      </c>
      <c r="Z77" s="131" t="str">
        <f>+Plant_Information!$B$12</f>
        <v>CLEVELAND, OH, 44115</v>
      </c>
      <c r="AA77" s="131" t="str">
        <f>+Plant_Information!$B$13</f>
        <v>12</v>
      </c>
      <c r="AB77" s="131" t="str">
        <f>+Plant_Information!$B$14</f>
        <v>CUY</v>
      </c>
      <c r="AC77" s="70"/>
    </row>
    <row r="78" spans="2:29" x14ac:dyDescent="0.2">
      <c r="B78" t="str">
        <f>+'Aggregate, Plant Pick-up'!$C$5</f>
        <v>Complete on PLANT INFORMATION TAB</v>
      </c>
      <c r="C78" t="str">
        <f>+'Aggregate, Plant Pick-up'!$C$6</f>
        <v>LAFARGE-MARBLEHEAD "OSBORNE-CLEVELAND"</v>
      </c>
      <c r="D78" t="str">
        <f>+Plant_Information!$B$10</f>
        <v>04105-28</v>
      </c>
      <c r="E78" t="str">
        <f>+Plant_Information!$B$11</f>
        <v>2100 CENTRAL FURNACE ROAD</v>
      </c>
      <c r="F78" t="str">
        <f>+Plant_Information!$B$12</f>
        <v>CLEVELAND, OH, 44115</v>
      </c>
      <c r="G78" t="str">
        <f>+Plant_Information!$B$13</f>
        <v>12</v>
      </c>
      <c r="H78" s="75" t="str">
        <f>+Plant_Information!$B$14</f>
        <v>CUY</v>
      </c>
      <c r="I78" t="str">
        <f>+'Aggregate, Plant Pick-up'!I$7</f>
        <v>Slag*</v>
      </c>
      <c r="J78" t="str">
        <f>CONCATENATE('Aggregate, Plant Pick-up'!F18," ( ",'Aggregate, Plant Pick-up'!G19," )")</f>
        <v>No. 4 ( 703.04 )</v>
      </c>
      <c r="K78" s="70">
        <f>+'Aggregate, Plant Pick-up'!I19</f>
        <v>0</v>
      </c>
      <c r="Q78" t="str">
        <f>Plant_Information!$B$6</f>
        <v>(INSERT VENDOR NAME HERE)</v>
      </c>
      <c r="R78" t="str">
        <f>'HAULING RATES- ODOT Locations'!$A$80</f>
        <v>District 5</v>
      </c>
      <c r="S78" t="str">
        <f>'HAULING RATES- ODOT Locations'!A95</f>
        <v>Licking</v>
      </c>
      <c r="T78" t="str">
        <f>'HAULING RATES- ODOT Locations'!B95</f>
        <v>2142 Johnstown-Utica Rd., Utica, OH 43080</v>
      </c>
      <c r="U78" t="str">
        <f>'HAULING RATES- ODOT Locations'!C$8</f>
        <v>Stone</v>
      </c>
      <c r="V78" s="146">
        <f>'HAULING RATES- ODOT Locations'!C95</f>
        <v>0</v>
      </c>
      <c r="W78" s="131" t="str">
        <f>+'Aggregate, Plant Pick-up'!$C$6</f>
        <v>LAFARGE-MARBLEHEAD "OSBORNE-CLEVELAND"</v>
      </c>
      <c r="X78" s="131" t="str">
        <f>+Plant_Information!$B$10</f>
        <v>04105-28</v>
      </c>
      <c r="Y78" s="131" t="str">
        <f>+Plant_Information!$B$11</f>
        <v>2100 CENTRAL FURNACE ROAD</v>
      </c>
      <c r="Z78" s="131" t="str">
        <f>+Plant_Information!$B$12</f>
        <v>CLEVELAND, OH, 44115</v>
      </c>
      <c r="AA78" s="131" t="str">
        <f>+Plant_Information!$B$13</f>
        <v>12</v>
      </c>
      <c r="AB78" s="131" t="str">
        <f>+Plant_Information!$B$14</f>
        <v>CUY</v>
      </c>
      <c r="AC78" s="70"/>
    </row>
    <row r="79" spans="2:29" x14ac:dyDescent="0.2">
      <c r="B79" t="str">
        <f>+'Aggregate, Plant Pick-up'!$C$5</f>
        <v>Complete on PLANT INFORMATION TAB</v>
      </c>
      <c r="C79" t="str">
        <f>+'Aggregate, Plant Pick-up'!$C$6</f>
        <v>LAFARGE-MARBLEHEAD "OSBORNE-CLEVELAND"</v>
      </c>
      <c r="D79" t="str">
        <f>+Plant_Information!$B$10</f>
        <v>04105-28</v>
      </c>
      <c r="E79" t="str">
        <f>+Plant_Information!$B$11</f>
        <v>2100 CENTRAL FURNACE ROAD</v>
      </c>
      <c r="F79" t="str">
        <f>+Plant_Information!$B$12</f>
        <v>CLEVELAND, OH, 44115</v>
      </c>
      <c r="G79" t="str">
        <f>+Plant_Information!$B$13</f>
        <v>12</v>
      </c>
      <c r="H79" s="75" t="str">
        <f>+Plant_Information!$B$14</f>
        <v>CUY</v>
      </c>
      <c r="I79" t="str">
        <f>+'Aggregate, Plant Pick-up'!I$7</f>
        <v>Slag*</v>
      </c>
      <c r="J79" t="str">
        <f>CONCATENATE('Aggregate, Plant Pick-up'!F18," ( ",'Aggregate, Plant Pick-up'!G20," )")</f>
        <v>No. 4 ( 703.05 )</v>
      </c>
      <c r="K79" s="70">
        <f>+'Aggregate, Plant Pick-up'!I20</f>
        <v>0</v>
      </c>
      <c r="Q79" t="str">
        <f>Plant_Information!$B$6</f>
        <v>(INSERT VENDOR NAME HERE)</v>
      </c>
      <c r="R79" t="str">
        <f>'HAULING RATES- ODOT Locations'!$A$80</f>
        <v>District 5</v>
      </c>
      <c r="S79" t="str">
        <f>'HAULING RATES- ODOT Locations'!A96</f>
        <v>Licking</v>
      </c>
      <c r="T79" t="str">
        <f>'HAULING RATES- ODOT Locations'!B96</f>
        <v>10694 Brownsville Rd., SW, Brownsville, OH 43721</v>
      </c>
      <c r="U79" t="str">
        <f>'HAULING RATES- ODOT Locations'!C$8</f>
        <v>Stone</v>
      </c>
      <c r="V79" s="146">
        <f>'HAULING RATES- ODOT Locations'!C96</f>
        <v>0</v>
      </c>
      <c r="W79" s="131" t="str">
        <f>+'Aggregate, Plant Pick-up'!$C$6</f>
        <v>LAFARGE-MARBLEHEAD "OSBORNE-CLEVELAND"</v>
      </c>
      <c r="X79" s="131" t="str">
        <f>+Plant_Information!$B$10</f>
        <v>04105-28</v>
      </c>
      <c r="Y79" s="131" t="str">
        <f>+Plant_Information!$B$11</f>
        <v>2100 CENTRAL FURNACE ROAD</v>
      </c>
      <c r="Z79" s="131" t="str">
        <f>+Plant_Information!$B$12</f>
        <v>CLEVELAND, OH, 44115</v>
      </c>
      <c r="AA79" s="131" t="str">
        <f>+Plant_Information!$B$13</f>
        <v>12</v>
      </c>
      <c r="AB79" s="131" t="str">
        <f>+Plant_Information!$B$14</f>
        <v>CUY</v>
      </c>
      <c r="AC79" s="70"/>
    </row>
    <row r="80" spans="2:29" x14ac:dyDescent="0.2">
      <c r="B80" t="str">
        <f>+'Aggregate, Plant Pick-up'!$C$5</f>
        <v>Complete on PLANT INFORMATION TAB</v>
      </c>
      <c r="C80" t="str">
        <f>+'Aggregate, Plant Pick-up'!$C$6</f>
        <v>LAFARGE-MARBLEHEAD "OSBORNE-CLEVELAND"</v>
      </c>
      <c r="D80" t="str">
        <f>+Plant_Information!$B$10</f>
        <v>04105-28</v>
      </c>
      <c r="E80" t="str">
        <f>+Plant_Information!$B$11</f>
        <v>2100 CENTRAL FURNACE ROAD</v>
      </c>
      <c r="F80" t="str">
        <f>+Plant_Information!$B$12</f>
        <v>CLEVELAND, OH, 44115</v>
      </c>
      <c r="G80" t="str">
        <f>+Plant_Information!$B$13</f>
        <v>12</v>
      </c>
      <c r="H80" s="75" t="str">
        <f>+Plant_Information!$B$14</f>
        <v>CUY</v>
      </c>
      <c r="I80" t="str">
        <f>+'Aggregate, Plant Pick-up'!I$7</f>
        <v>Slag*</v>
      </c>
      <c r="J80" t="str">
        <f>CONCATENATE('Aggregate, Plant Pick-up'!F21," ( ",'Aggregate, Plant Pick-up'!G21," )")</f>
        <v>No. 467 ( 703.02 )</v>
      </c>
      <c r="K80" s="70">
        <f>+'Aggregate, Plant Pick-up'!I21</f>
        <v>0</v>
      </c>
      <c r="Q80" t="str">
        <f>Plant_Information!$B$6</f>
        <v>(INSERT VENDOR NAME HERE)</v>
      </c>
      <c r="R80" t="str">
        <f>'HAULING RATES- ODOT Locations'!$A$80</f>
        <v>District 5</v>
      </c>
      <c r="S80" t="str">
        <f>'HAULING RATES- ODOT Locations'!A97</f>
        <v>Licking</v>
      </c>
      <c r="T80" t="str">
        <f>'HAULING RATES- ODOT Locations'!B97</f>
        <v>Marne OP, 11416 Marne Rd., Newark, OH 43055</v>
      </c>
      <c r="U80" t="str">
        <f>'HAULING RATES- ODOT Locations'!C$8</f>
        <v>Stone</v>
      </c>
      <c r="V80" s="146">
        <f>'HAULING RATES- ODOT Locations'!C97</f>
        <v>0</v>
      </c>
      <c r="W80" s="131" t="str">
        <f>+'Aggregate, Plant Pick-up'!$C$6</f>
        <v>LAFARGE-MARBLEHEAD "OSBORNE-CLEVELAND"</v>
      </c>
      <c r="X80" s="131" t="str">
        <f>+Plant_Information!$B$10</f>
        <v>04105-28</v>
      </c>
      <c r="Y80" s="131" t="str">
        <f>+Plant_Information!$B$11</f>
        <v>2100 CENTRAL FURNACE ROAD</v>
      </c>
      <c r="Z80" s="131" t="str">
        <f>+Plant_Information!$B$12</f>
        <v>CLEVELAND, OH, 44115</v>
      </c>
      <c r="AA80" s="131" t="str">
        <f>+Plant_Information!$B$13</f>
        <v>12</v>
      </c>
      <c r="AB80" s="131" t="str">
        <f>+Plant_Information!$B$14</f>
        <v>CUY</v>
      </c>
      <c r="AC80" s="70"/>
    </row>
    <row r="81" spans="2:29" x14ac:dyDescent="0.2">
      <c r="B81" t="str">
        <f>+'Aggregate, Plant Pick-up'!$C$5</f>
        <v>Complete on PLANT INFORMATION TAB</v>
      </c>
      <c r="C81" t="str">
        <f>+'Aggregate, Plant Pick-up'!$C$6</f>
        <v>LAFARGE-MARBLEHEAD "OSBORNE-CLEVELAND"</v>
      </c>
      <c r="D81" t="str">
        <f>+Plant_Information!$B$10</f>
        <v>04105-28</v>
      </c>
      <c r="E81" t="str">
        <f>+Plant_Information!$B$11</f>
        <v>2100 CENTRAL FURNACE ROAD</v>
      </c>
      <c r="F81" t="str">
        <f>+Plant_Information!$B$12</f>
        <v>CLEVELAND, OH, 44115</v>
      </c>
      <c r="G81" t="str">
        <f>+Plant_Information!$B$13</f>
        <v>12</v>
      </c>
      <c r="H81" s="75" t="str">
        <f>+Plant_Information!$B$14</f>
        <v>CUY</v>
      </c>
      <c r="I81" t="str">
        <f>+'Aggregate, Plant Pick-up'!I$7</f>
        <v>Slag*</v>
      </c>
      <c r="J81" t="str">
        <f>CONCATENATE('Aggregate, Plant Pick-up'!F21," ( ",'Aggregate, Plant Pick-up'!G22," )")</f>
        <v>No. 467 ( 703.04 )</v>
      </c>
      <c r="K81" s="70">
        <f>+'Aggregate, Plant Pick-up'!I22</f>
        <v>0</v>
      </c>
      <c r="Q81" t="str">
        <f>Plant_Information!$B$6</f>
        <v>(INSERT VENDOR NAME HERE)</v>
      </c>
      <c r="R81" t="str">
        <f>'HAULING RATES- ODOT Locations'!$A$80</f>
        <v>District 5</v>
      </c>
      <c r="S81" t="str">
        <f>'HAULING RATES- ODOT Locations'!A98</f>
        <v>Muskingum</v>
      </c>
      <c r="T81" t="str">
        <f>'HAULING RATES- ODOT Locations'!B98</f>
        <v>3399 East Pike, Zanesville, OH 43701</v>
      </c>
      <c r="U81" t="str">
        <f>'HAULING RATES- ODOT Locations'!C$8</f>
        <v>Stone</v>
      </c>
      <c r="V81" s="146">
        <f>'HAULING RATES- ODOT Locations'!C98</f>
        <v>0</v>
      </c>
      <c r="W81" s="131" t="str">
        <f>+'Aggregate, Plant Pick-up'!$C$6</f>
        <v>LAFARGE-MARBLEHEAD "OSBORNE-CLEVELAND"</v>
      </c>
      <c r="X81" s="131" t="str">
        <f>+Plant_Information!$B$10</f>
        <v>04105-28</v>
      </c>
      <c r="Y81" s="131" t="str">
        <f>+Plant_Information!$B$11</f>
        <v>2100 CENTRAL FURNACE ROAD</v>
      </c>
      <c r="Z81" s="131" t="str">
        <f>+Plant_Information!$B$12</f>
        <v>CLEVELAND, OH, 44115</v>
      </c>
      <c r="AA81" s="131" t="str">
        <f>+Plant_Information!$B$13</f>
        <v>12</v>
      </c>
      <c r="AB81" s="131" t="str">
        <f>+Plant_Information!$B$14</f>
        <v>CUY</v>
      </c>
      <c r="AC81" s="70"/>
    </row>
    <row r="82" spans="2:29" x14ac:dyDescent="0.2">
      <c r="B82" t="str">
        <f>+'Aggregate, Plant Pick-up'!$C$5</f>
        <v>Complete on PLANT INFORMATION TAB</v>
      </c>
      <c r="C82" t="str">
        <f>+'Aggregate, Plant Pick-up'!$C$6</f>
        <v>LAFARGE-MARBLEHEAD "OSBORNE-CLEVELAND"</v>
      </c>
      <c r="D82" t="str">
        <f>+Plant_Information!$B$10</f>
        <v>04105-28</v>
      </c>
      <c r="E82" t="str">
        <f>+Plant_Information!$B$11</f>
        <v>2100 CENTRAL FURNACE ROAD</v>
      </c>
      <c r="F82" t="str">
        <f>+Plant_Information!$B$12</f>
        <v>CLEVELAND, OH, 44115</v>
      </c>
      <c r="G82" t="str">
        <f>+Plant_Information!$B$13</f>
        <v>12</v>
      </c>
      <c r="H82" s="75" t="str">
        <f>+Plant_Information!$B$14</f>
        <v>CUY</v>
      </c>
      <c r="I82" t="str">
        <f>+'Aggregate, Plant Pick-up'!I$7</f>
        <v>Slag*</v>
      </c>
      <c r="J82" t="str">
        <f>CONCATENATE('Aggregate, Plant Pick-up'!F21," ( ",'Aggregate, Plant Pick-up'!G23," )")</f>
        <v>No. 467 ( 703.05 )</v>
      </c>
      <c r="K82" s="70">
        <f>+'Aggregate, Plant Pick-up'!I23</f>
        <v>0</v>
      </c>
      <c r="Q82" t="str">
        <f>Plant_Information!$B$6</f>
        <v>(INSERT VENDOR NAME HERE)</v>
      </c>
      <c r="R82" t="str">
        <f>'HAULING RATES- ODOT Locations'!$A$80</f>
        <v>District 5</v>
      </c>
      <c r="S82" t="str">
        <f>'HAULING RATES- ODOT Locations'!A99</f>
        <v>Muskingum</v>
      </c>
      <c r="T82" t="str">
        <f>'HAULING RATES- ODOT Locations'!B99</f>
        <v>10040 North Pointe Rd., Dresden, OH 43821</v>
      </c>
      <c r="U82" t="str">
        <f>'HAULING RATES- ODOT Locations'!C$8</f>
        <v>Stone</v>
      </c>
      <c r="V82" s="146">
        <f>'HAULING RATES- ODOT Locations'!C99</f>
        <v>0</v>
      </c>
      <c r="W82" s="131" t="str">
        <f>+'Aggregate, Plant Pick-up'!$C$6</f>
        <v>LAFARGE-MARBLEHEAD "OSBORNE-CLEVELAND"</v>
      </c>
      <c r="X82" s="131" t="str">
        <f>+Plant_Information!$B$10</f>
        <v>04105-28</v>
      </c>
      <c r="Y82" s="131" t="str">
        <f>+Plant_Information!$B$11</f>
        <v>2100 CENTRAL FURNACE ROAD</v>
      </c>
      <c r="Z82" s="131" t="str">
        <f>+Plant_Information!$B$12</f>
        <v>CLEVELAND, OH, 44115</v>
      </c>
      <c r="AA82" s="131" t="str">
        <f>+Plant_Information!$B$13</f>
        <v>12</v>
      </c>
      <c r="AB82" s="131" t="str">
        <f>+Plant_Information!$B$14</f>
        <v>CUY</v>
      </c>
      <c r="AC82" s="70"/>
    </row>
    <row r="83" spans="2:29" x14ac:dyDescent="0.2">
      <c r="B83" t="str">
        <f>+'Aggregate, Plant Pick-up'!$C$5</f>
        <v>Complete on PLANT INFORMATION TAB</v>
      </c>
      <c r="C83" t="str">
        <f>+'Aggregate, Plant Pick-up'!$C$6</f>
        <v>LAFARGE-MARBLEHEAD "OSBORNE-CLEVELAND"</v>
      </c>
      <c r="D83" t="str">
        <f>+Plant_Information!$B$10</f>
        <v>04105-28</v>
      </c>
      <c r="E83" t="str">
        <f>+Plant_Information!$B$11</f>
        <v>2100 CENTRAL FURNACE ROAD</v>
      </c>
      <c r="F83" t="str">
        <f>+Plant_Information!$B$12</f>
        <v>CLEVELAND, OH, 44115</v>
      </c>
      <c r="G83" t="str">
        <f>+Plant_Information!$B$13</f>
        <v>12</v>
      </c>
      <c r="H83" s="75" t="str">
        <f>+Plant_Information!$B$14</f>
        <v>CUY</v>
      </c>
      <c r="I83" t="str">
        <f>+'Aggregate, Plant Pick-up'!I$7</f>
        <v>Slag*</v>
      </c>
      <c r="J83" t="str">
        <f>CONCATENATE('Aggregate, Plant Pick-up'!F24," ( ",'Aggregate, Plant Pick-up'!G24," )")</f>
        <v>No. 57 ( 703.02 )</v>
      </c>
      <c r="K83" s="70">
        <f>+'Aggregate, Plant Pick-up'!I24</f>
        <v>0</v>
      </c>
      <c r="Q83" t="str">
        <f>Plant_Information!$B$6</f>
        <v>(INSERT VENDOR NAME HERE)</v>
      </c>
      <c r="R83" t="str">
        <f>'HAULING RATES- ODOT Locations'!$A$80</f>
        <v>District 5</v>
      </c>
      <c r="S83" t="str">
        <f>'HAULING RATES- ODOT Locations'!A100</f>
        <v>Muskingum</v>
      </c>
      <c r="T83" t="str">
        <f>'HAULING RATES- ODOT Locations'!B100</f>
        <v>4625 South River Road, Duncan Falls, OH 43734</v>
      </c>
      <c r="U83" t="str">
        <f>'HAULING RATES- ODOT Locations'!C$8</f>
        <v>Stone</v>
      </c>
      <c r="V83" s="146">
        <f>'HAULING RATES- ODOT Locations'!C100</f>
        <v>0</v>
      </c>
      <c r="W83" s="131" t="str">
        <f>+'Aggregate, Plant Pick-up'!$C$6</f>
        <v>LAFARGE-MARBLEHEAD "OSBORNE-CLEVELAND"</v>
      </c>
      <c r="X83" s="131" t="str">
        <f>+Plant_Information!$B$10</f>
        <v>04105-28</v>
      </c>
      <c r="Y83" s="131" t="str">
        <f>+Plant_Information!$B$11</f>
        <v>2100 CENTRAL FURNACE ROAD</v>
      </c>
      <c r="Z83" s="131" t="str">
        <f>+Plant_Information!$B$12</f>
        <v>CLEVELAND, OH, 44115</v>
      </c>
      <c r="AA83" s="131" t="str">
        <f>+Plant_Information!$B$13</f>
        <v>12</v>
      </c>
      <c r="AB83" s="131" t="str">
        <f>+Plant_Information!$B$14</f>
        <v>CUY</v>
      </c>
      <c r="AC83" s="70"/>
    </row>
    <row r="84" spans="2:29" x14ac:dyDescent="0.2">
      <c r="B84" t="str">
        <f>+'Aggregate, Plant Pick-up'!$C$5</f>
        <v>Complete on PLANT INFORMATION TAB</v>
      </c>
      <c r="C84" t="str">
        <f>+'Aggregate, Plant Pick-up'!$C$6</f>
        <v>LAFARGE-MARBLEHEAD "OSBORNE-CLEVELAND"</v>
      </c>
      <c r="D84" t="str">
        <f>+Plant_Information!$B$10</f>
        <v>04105-28</v>
      </c>
      <c r="E84" t="str">
        <f>+Plant_Information!$B$11</f>
        <v>2100 CENTRAL FURNACE ROAD</v>
      </c>
      <c r="F84" t="str">
        <f>+Plant_Information!$B$12</f>
        <v>CLEVELAND, OH, 44115</v>
      </c>
      <c r="G84" t="str">
        <f>+Plant_Information!$B$13</f>
        <v>12</v>
      </c>
      <c r="H84" s="75" t="str">
        <f>+Plant_Information!$B$14</f>
        <v>CUY</v>
      </c>
      <c r="I84" t="str">
        <f>+'Aggregate, Plant Pick-up'!I$7</f>
        <v>Slag*</v>
      </c>
      <c r="J84" t="str">
        <f>CONCATENATE('Aggregate, Plant Pick-up'!F24," ( ",'Aggregate, Plant Pick-up'!G25," )")</f>
        <v>No. 57 ( 703.04 )</v>
      </c>
      <c r="K84" s="70">
        <f>+'Aggregate, Plant Pick-up'!I25</f>
        <v>0</v>
      </c>
      <c r="Q84" t="str">
        <f>Plant_Information!$B$6</f>
        <v>(INSERT VENDOR NAME HERE)</v>
      </c>
      <c r="R84" t="str">
        <f>'HAULING RATES- ODOT Locations'!$A$80</f>
        <v>District 5</v>
      </c>
      <c r="S84" t="str">
        <f>'HAULING RATES- ODOT Locations'!A101</f>
        <v>Muskingum</v>
      </c>
      <c r="T84" t="str">
        <f>'HAULING RATES- ODOT Locations'!B101</f>
        <v>Moxahala OP, 3799 Maysville Pike, South Zanesville, OH 43701</v>
      </c>
      <c r="U84" t="str">
        <f>'HAULING RATES- ODOT Locations'!C$8</f>
        <v>Stone</v>
      </c>
      <c r="V84" s="146">
        <f>'HAULING RATES- ODOT Locations'!C101</f>
        <v>0</v>
      </c>
      <c r="W84" s="131" t="str">
        <f>+'Aggregate, Plant Pick-up'!$C$6</f>
        <v>LAFARGE-MARBLEHEAD "OSBORNE-CLEVELAND"</v>
      </c>
      <c r="X84" s="131" t="str">
        <f>+Plant_Information!$B$10</f>
        <v>04105-28</v>
      </c>
      <c r="Y84" s="131" t="str">
        <f>+Plant_Information!$B$11</f>
        <v>2100 CENTRAL FURNACE ROAD</v>
      </c>
      <c r="Z84" s="131" t="str">
        <f>+Plant_Information!$B$12</f>
        <v>CLEVELAND, OH, 44115</v>
      </c>
      <c r="AA84" s="131" t="str">
        <f>+Plant_Information!$B$13</f>
        <v>12</v>
      </c>
      <c r="AB84" s="131" t="str">
        <f>+Plant_Information!$B$14</f>
        <v>CUY</v>
      </c>
      <c r="AC84" s="70"/>
    </row>
    <row r="85" spans="2:29" x14ac:dyDescent="0.2">
      <c r="B85" t="str">
        <f>+'Aggregate, Plant Pick-up'!$C$5</f>
        <v>Complete on PLANT INFORMATION TAB</v>
      </c>
      <c r="C85" t="str">
        <f>+'Aggregate, Plant Pick-up'!$C$6</f>
        <v>LAFARGE-MARBLEHEAD "OSBORNE-CLEVELAND"</v>
      </c>
      <c r="D85" t="str">
        <f>+Plant_Information!$B$10</f>
        <v>04105-28</v>
      </c>
      <c r="E85" t="str">
        <f>+Plant_Information!$B$11</f>
        <v>2100 CENTRAL FURNACE ROAD</v>
      </c>
      <c r="F85" t="str">
        <f>+Plant_Information!$B$12</f>
        <v>CLEVELAND, OH, 44115</v>
      </c>
      <c r="G85" t="str">
        <f>+Plant_Information!$B$13</f>
        <v>12</v>
      </c>
      <c r="H85" s="75" t="str">
        <f>+Plant_Information!$B$14</f>
        <v>CUY</v>
      </c>
      <c r="I85" t="str">
        <f>+'Aggregate, Plant Pick-up'!I$7</f>
        <v>Slag*</v>
      </c>
      <c r="J85" t="str">
        <f>CONCATENATE('Aggregate, Plant Pick-up'!F24," ( ",'Aggregate, Plant Pick-up'!G26," )")</f>
        <v>No. 57 ( 703.05 )</v>
      </c>
      <c r="K85" s="70">
        <f>+'Aggregate, Plant Pick-up'!I26</f>
        <v>0</v>
      </c>
      <c r="Q85" t="str">
        <f>Plant_Information!$B$6</f>
        <v>(INSERT VENDOR NAME HERE)</v>
      </c>
      <c r="R85" t="str">
        <f>'HAULING RATES- ODOT Locations'!$A$80</f>
        <v>District 5</v>
      </c>
      <c r="S85" t="str">
        <f>'HAULING RATES- ODOT Locations'!A102</f>
        <v>Perry</v>
      </c>
      <c r="T85" t="str">
        <f>'HAULING RATES- ODOT Locations'!B102</f>
        <v>2405 SR 13, New Lexington, OH 43764  ( 0.3 mi. n. of SR 37)</v>
      </c>
      <c r="U85" t="str">
        <f>'HAULING RATES- ODOT Locations'!C$8</f>
        <v>Stone</v>
      </c>
      <c r="V85" s="146">
        <f>'HAULING RATES- ODOT Locations'!C102</f>
        <v>0</v>
      </c>
      <c r="W85" s="131" t="str">
        <f>+'Aggregate, Plant Pick-up'!$C$6</f>
        <v>LAFARGE-MARBLEHEAD "OSBORNE-CLEVELAND"</v>
      </c>
      <c r="X85" s="131" t="str">
        <f>+Plant_Information!$B$10</f>
        <v>04105-28</v>
      </c>
      <c r="Y85" s="131" t="str">
        <f>+Plant_Information!$B$11</f>
        <v>2100 CENTRAL FURNACE ROAD</v>
      </c>
      <c r="Z85" s="131" t="str">
        <f>+Plant_Information!$B$12</f>
        <v>CLEVELAND, OH, 44115</v>
      </c>
      <c r="AA85" s="131" t="str">
        <f>+Plant_Information!$B$13</f>
        <v>12</v>
      </c>
      <c r="AB85" s="131" t="str">
        <f>+Plant_Information!$B$14</f>
        <v>CUY</v>
      </c>
      <c r="AC85" s="70"/>
    </row>
    <row r="86" spans="2:29" x14ac:dyDescent="0.2">
      <c r="B86" t="str">
        <f>+'Aggregate, Plant Pick-up'!$C$5</f>
        <v>Complete on PLANT INFORMATION TAB</v>
      </c>
      <c r="C86" t="str">
        <f>+'Aggregate, Plant Pick-up'!$C$6</f>
        <v>LAFARGE-MARBLEHEAD "OSBORNE-CLEVELAND"</v>
      </c>
      <c r="D86" t="str">
        <f>+Plant_Information!$B$10</f>
        <v>04105-28</v>
      </c>
      <c r="E86" t="str">
        <f>+Plant_Information!$B$11</f>
        <v>2100 CENTRAL FURNACE ROAD</v>
      </c>
      <c r="F86" t="str">
        <f>+Plant_Information!$B$12</f>
        <v>CLEVELAND, OH, 44115</v>
      </c>
      <c r="G86" t="str">
        <f>+Plant_Information!$B$13</f>
        <v>12</v>
      </c>
      <c r="H86" s="75" t="str">
        <f>+Plant_Information!$B$14</f>
        <v>CUY</v>
      </c>
      <c r="I86" t="str">
        <f>+'Aggregate, Plant Pick-up'!I$7</f>
        <v>Slag*</v>
      </c>
      <c r="J86" t="str">
        <f>CONCATENATE('Aggregate, Plant Pick-up'!F27," ( ",'Aggregate, Plant Pick-up'!G27," )")</f>
        <v>No. 6 ( 703.02 )</v>
      </c>
      <c r="K86" s="70">
        <f>+'Aggregate, Plant Pick-up'!I27</f>
        <v>0</v>
      </c>
      <c r="Q86" t="str">
        <f>Plant_Information!$B$6</f>
        <v>(INSERT VENDOR NAME HERE)</v>
      </c>
      <c r="R86" t="str">
        <f>'HAULING RATES- ODOT Locations'!$A$80</f>
        <v>District 5</v>
      </c>
      <c r="S86" t="str">
        <f>'HAULING RATES- ODOT Locations'!A103</f>
        <v>Perry</v>
      </c>
      <c r="T86" t="str">
        <f>'HAULING RATES- ODOT Locations'!B103</f>
        <v>8686 SR 155, Shawnee, OH 43782</v>
      </c>
      <c r="U86" t="str">
        <f>'HAULING RATES- ODOT Locations'!C$8</f>
        <v>Stone</v>
      </c>
      <c r="V86" s="146">
        <f>'HAULING RATES- ODOT Locations'!C103</f>
        <v>0</v>
      </c>
      <c r="W86" s="131" t="str">
        <f>+'Aggregate, Plant Pick-up'!$C$6</f>
        <v>LAFARGE-MARBLEHEAD "OSBORNE-CLEVELAND"</v>
      </c>
      <c r="X86" s="131" t="str">
        <f>+Plant_Information!$B$10</f>
        <v>04105-28</v>
      </c>
      <c r="Y86" s="131" t="str">
        <f>+Plant_Information!$B$11</f>
        <v>2100 CENTRAL FURNACE ROAD</v>
      </c>
      <c r="Z86" s="131" t="str">
        <f>+Plant_Information!$B$12</f>
        <v>CLEVELAND, OH, 44115</v>
      </c>
      <c r="AA86" s="131" t="str">
        <f>+Plant_Information!$B$13</f>
        <v>12</v>
      </c>
      <c r="AB86" s="131" t="str">
        <f>+Plant_Information!$B$14</f>
        <v>CUY</v>
      </c>
      <c r="AC86" s="70"/>
    </row>
    <row r="87" spans="2:29" x14ac:dyDescent="0.2">
      <c r="B87" t="str">
        <f>+'Aggregate, Plant Pick-up'!$C$5</f>
        <v>Complete on PLANT INFORMATION TAB</v>
      </c>
      <c r="C87" t="str">
        <f>+'Aggregate, Plant Pick-up'!$C$6</f>
        <v>LAFARGE-MARBLEHEAD "OSBORNE-CLEVELAND"</v>
      </c>
      <c r="D87" t="str">
        <f>+Plant_Information!$B$10</f>
        <v>04105-28</v>
      </c>
      <c r="E87" t="str">
        <f>+Plant_Information!$B$11</f>
        <v>2100 CENTRAL FURNACE ROAD</v>
      </c>
      <c r="F87" t="str">
        <f>+Plant_Information!$B$12</f>
        <v>CLEVELAND, OH, 44115</v>
      </c>
      <c r="G87" t="str">
        <f>+Plant_Information!$B$13</f>
        <v>12</v>
      </c>
      <c r="H87" s="75" t="str">
        <f>+Plant_Information!$B$14</f>
        <v>CUY</v>
      </c>
      <c r="I87" t="str">
        <f>+'Aggregate, Plant Pick-up'!I$7</f>
        <v>Slag*</v>
      </c>
      <c r="J87" t="str">
        <f>CONCATENATE('Aggregate, Plant Pick-up'!F27," ( ",'Aggregate, Plant Pick-up'!G28," )")</f>
        <v>No. 6 ( 703.04 )</v>
      </c>
      <c r="K87" s="70">
        <f>+'Aggregate, Plant Pick-up'!I28</f>
        <v>0</v>
      </c>
      <c r="Q87" t="str">
        <f>Plant_Information!$B$6</f>
        <v>(INSERT VENDOR NAME HERE)</v>
      </c>
      <c r="R87" t="str">
        <f>'HAULING RATES- ODOT Locations'!$A$104</f>
        <v>District 6</v>
      </c>
      <c r="S87" t="str">
        <f>'HAULING RATES- ODOT Locations'!A107</f>
        <v>Delaware</v>
      </c>
      <c r="T87" t="str">
        <f>'HAULING RATES- ODOT Locations'!B107</f>
        <v>Delaware Co. Gar.,1150 U.S. 42 North, Delaware, OH 43015</v>
      </c>
      <c r="U87" t="str">
        <f>'HAULING RATES- ODOT Locations'!C$8</f>
        <v>Stone</v>
      </c>
      <c r="V87" s="146">
        <f>'HAULING RATES- ODOT Locations'!C107</f>
        <v>0</v>
      </c>
      <c r="W87" s="131" t="str">
        <f>+'Aggregate, Plant Pick-up'!$C$6</f>
        <v>LAFARGE-MARBLEHEAD "OSBORNE-CLEVELAND"</v>
      </c>
      <c r="X87" s="131" t="str">
        <f>+Plant_Information!$B$10</f>
        <v>04105-28</v>
      </c>
      <c r="Y87" s="131" t="str">
        <f>+Plant_Information!$B$11</f>
        <v>2100 CENTRAL FURNACE ROAD</v>
      </c>
      <c r="Z87" s="131" t="str">
        <f>+Plant_Information!$B$12</f>
        <v>CLEVELAND, OH, 44115</v>
      </c>
      <c r="AA87" s="131" t="str">
        <f>+Plant_Information!$B$13</f>
        <v>12</v>
      </c>
      <c r="AB87" s="131" t="str">
        <f>+Plant_Information!$B$14</f>
        <v>CUY</v>
      </c>
      <c r="AC87" s="70"/>
    </row>
    <row r="88" spans="2:29" x14ac:dyDescent="0.2">
      <c r="B88" t="str">
        <f>+'Aggregate, Plant Pick-up'!$C$5</f>
        <v>Complete on PLANT INFORMATION TAB</v>
      </c>
      <c r="C88" t="str">
        <f>+'Aggregate, Plant Pick-up'!$C$6</f>
        <v>LAFARGE-MARBLEHEAD "OSBORNE-CLEVELAND"</v>
      </c>
      <c r="D88" t="str">
        <f>+Plant_Information!$B$10</f>
        <v>04105-28</v>
      </c>
      <c r="E88" t="str">
        <f>+Plant_Information!$B$11</f>
        <v>2100 CENTRAL FURNACE ROAD</v>
      </c>
      <c r="F88" t="str">
        <f>+Plant_Information!$B$12</f>
        <v>CLEVELAND, OH, 44115</v>
      </c>
      <c r="G88" t="str">
        <f>+Plant_Information!$B$13</f>
        <v>12</v>
      </c>
      <c r="H88" s="75" t="str">
        <f>+Plant_Information!$B$14</f>
        <v>CUY</v>
      </c>
      <c r="I88" t="str">
        <f>+'Aggregate, Plant Pick-up'!I$7</f>
        <v>Slag*</v>
      </c>
      <c r="J88" t="str">
        <f>CONCATENATE('Aggregate, Plant Pick-up'!F27," ( ",'Aggregate, Plant Pick-up'!G29," )")</f>
        <v>No. 6 ( 703.05 )</v>
      </c>
      <c r="K88" s="70">
        <f>+'Aggregate, Plant Pick-up'!I29</f>
        <v>0</v>
      </c>
      <c r="Q88" t="str">
        <f>Plant_Information!$B$6</f>
        <v>(INSERT VENDOR NAME HERE)</v>
      </c>
      <c r="R88" t="str">
        <f>'HAULING RATES- ODOT Locations'!$A$104</f>
        <v>District 6</v>
      </c>
      <c r="S88" t="str">
        <f>'HAULING RATES- ODOT Locations'!A108</f>
        <v>Delaware</v>
      </c>
      <c r="T88" t="str">
        <f>'HAULING RATES- ODOT Locations'!B108</f>
        <v>Berkshire OP, 7016 E State Route 37, Sunbury, Oh  43074</v>
      </c>
      <c r="U88" t="str">
        <f>'HAULING RATES- ODOT Locations'!C$8</f>
        <v>Stone</v>
      </c>
      <c r="V88" s="146">
        <f>'HAULING RATES- ODOT Locations'!C108</f>
        <v>0</v>
      </c>
      <c r="W88" s="131" t="str">
        <f>+'Aggregate, Plant Pick-up'!$C$6</f>
        <v>LAFARGE-MARBLEHEAD "OSBORNE-CLEVELAND"</v>
      </c>
      <c r="X88" s="131" t="str">
        <f>+Plant_Information!$B$10</f>
        <v>04105-28</v>
      </c>
      <c r="Y88" s="131" t="str">
        <f>+Plant_Information!$B$11</f>
        <v>2100 CENTRAL FURNACE ROAD</v>
      </c>
      <c r="Z88" s="131" t="str">
        <f>+Plant_Information!$B$12</f>
        <v>CLEVELAND, OH, 44115</v>
      </c>
      <c r="AA88" s="131" t="str">
        <f>+Plant_Information!$B$13</f>
        <v>12</v>
      </c>
      <c r="AB88" s="131" t="str">
        <f>+Plant_Information!$B$14</f>
        <v>CUY</v>
      </c>
      <c r="AC88" s="70"/>
    </row>
    <row r="89" spans="2:29" x14ac:dyDescent="0.2">
      <c r="B89" t="str">
        <f>+'Aggregate, Plant Pick-up'!$C$5</f>
        <v>Complete on PLANT INFORMATION TAB</v>
      </c>
      <c r="C89" t="str">
        <f>+'Aggregate, Plant Pick-up'!$C$6</f>
        <v>LAFARGE-MARBLEHEAD "OSBORNE-CLEVELAND"</v>
      </c>
      <c r="D89" t="str">
        <f>+Plant_Information!$B$10</f>
        <v>04105-28</v>
      </c>
      <c r="E89" t="str">
        <f>+Plant_Information!$B$11</f>
        <v>2100 CENTRAL FURNACE ROAD</v>
      </c>
      <c r="F89" t="str">
        <f>+Plant_Information!$B$12</f>
        <v>CLEVELAND, OH, 44115</v>
      </c>
      <c r="G89" t="str">
        <f>+Plant_Information!$B$13</f>
        <v>12</v>
      </c>
      <c r="H89" s="75" t="str">
        <f>+Plant_Information!$B$14</f>
        <v>CUY</v>
      </c>
      <c r="I89" t="str">
        <f>+'Aggregate, Plant Pick-up'!I$7</f>
        <v>Slag*</v>
      </c>
      <c r="J89" t="str">
        <f>CONCATENATE('Aggregate, Plant Pick-up'!F30," ( ",'Aggregate, Plant Pick-up'!G30," )")</f>
        <v>No. 67 ( 703.02 )</v>
      </c>
      <c r="K89" s="70">
        <f>+'Aggregate, Plant Pick-up'!I30</f>
        <v>0</v>
      </c>
      <c r="Q89" t="str">
        <f>Plant_Information!$B$6</f>
        <v>(INSERT VENDOR NAME HERE)</v>
      </c>
      <c r="R89" t="str">
        <f>'HAULING RATES- ODOT Locations'!$A$104</f>
        <v>District 6</v>
      </c>
      <c r="S89" t="str">
        <f>'HAULING RATES- ODOT Locations'!A109</f>
        <v>Delaware</v>
      </c>
      <c r="T89" t="str">
        <f>'HAULING RATES- ODOT Locations'!B109</f>
        <v>Sunbury OP, Morning St., Sunbury</v>
      </c>
      <c r="U89" t="str">
        <f>'HAULING RATES- ODOT Locations'!C$8</f>
        <v>Stone</v>
      </c>
      <c r="V89" s="146">
        <f>'HAULING RATES- ODOT Locations'!C109</f>
        <v>0</v>
      </c>
      <c r="W89" s="131" t="str">
        <f>+'Aggregate, Plant Pick-up'!$C$6</f>
        <v>LAFARGE-MARBLEHEAD "OSBORNE-CLEVELAND"</v>
      </c>
      <c r="X89" s="131" t="str">
        <f>+Plant_Information!$B$10</f>
        <v>04105-28</v>
      </c>
      <c r="Y89" s="131" t="str">
        <f>+Plant_Information!$B$11</f>
        <v>2100 CENTRAL FURNACE ROAD</v>
      </c>
      <c r="Z89" s="131" t="str">
        <f>+Plant_Information!$B$12</f>
        <v>CLEVELAND, OH, 44115</v>
      </c>
      <c r="AA89" s="131" t="str">
        <f>+Plant_Information!$B$13</f>
        <v>12</v>
      </c>
      <c r="AB89" s="131" t="str">
        <f>+Plant_Information!$B$14</f>
        <v>CUY</v>
      </c>
      <c r="AC89" s="70"/>
    </row>
    <row r="90" spans="2:29" x14ac:dyDescent="0.2">
      <c r="B90" t="str">
        <f>+'Aggregate, Plant Pick-up'!$C$5</f>
        <v>Complete on PLANT INFORMATION TAB</v>
      </c>
      <c r="C90" t="str">
        <f>+'Aggregate, Plant Pick-up'!$C$6</f>
        <v>LAFARGE-MARBLEHEAD "OSBORNE-CLEVELAND"</v>
      </c>
      <c r="D90" t="str">
        <f>+Plant_Information!$B$10</f>
        <v>04105-28</v>
      </c>
      <c r="E90" t="str">
        <f>+Plant_Information!$B$11</f>
        <v>2100 CENTRAL FURNACE ROAD</v>
      </c>
      <c r="F90" t="str">
        <f>+Plant_Information!$B$12</f>
        <v>CLEVELAND, OH, 44115</v>
      </c>
      <c r="G90" t="str">
        <f>+Plant_Information!$B$13</f>
        <v>12</v>
      </c>
      <c r="H90" s="75" t="str">
        <f>+Plant_Information!$B$14</f>
        <v>CUY</v>
      </c>
      <c r="I90" t="str">
        <f>+'Aggregate, Plant Pick-up'!I$7</f>
        <v>Slag*</v>
      </c>
      <c r="J90" t="str">
        <f>CONCATENATE('Aggregate, Plant Pick-up'!F30," ( ",'Aggregate, Plant Pick-up'!G31," )")</f>
        <v>No. 67 ( 703.04 )</v>
      </c>
      <c r="K90" s="70">
        <f>+'Aggregate, Plant Pick-up'!I31</f>
        <v>0</v>
      </c>
      <c r="Q90" t="str">
        <f>Plant_Information!$B$6</f>
        <v>(INSERT VENDOR NAME HERE)</v>
      </c>
      <c r="R90" t="str">
        <f>'HAULING RATES- ODOT Locations'!$A$104</f>
        <v>District 6</v>
      </c>
      <c r="S90" t="str">
        <f>'HAULING RATES- ODOT Locations'!A110</f>
        <v>Fayette</v>
      </c>
      <c r="T90" t="str">
        <f>'HAULING RATES- ODOT Locations'!B110</f>
        <v>Fayette Co. Gar., 2331 US 22 SW, Washington Court House, OH 43160</v>
      </c>
      <c r="U90" t="str">
        <f>'HAULING RATES- ODOT Locations'!C$8</f>
        <v>Stone</v>
      </c>
      <c r="V90" s="146">
        <f>'HAULING RATES- ODOT Locations'!C110</f>
        <v>0</v>
      </c>
      <c r="W90" s="131" t="str">
        <f>+'Aggregate, Plant Pick-up'!$C$6</f>
        <v>LAFARGE-MARBLEHEAD "OSBORNE-CLEVELAND"</v>
      </c>
      <c r="X90" s="131" t="str">
        <f>+Plant_Information!$B$10</f>
        <v>04105-28</v>
      </c>
      <c r="Y90" s="131" t="str">
        <f>+Plant_Information!$B$11</f>
        <v>2100 CENTRAL FURNACE ROAD</v>
      </c>
      <c r="Z90" s="131" t="str">
        <f>+Plant_Information!$B$12</f>
        <v>CLEVELAND, OH, 44115</v>
      </c>
      <c r="AA90" s="131" t="str">
        <f>+Plant_Information!$B$13</f>
        <v>12</v>
      </c>
      <c r="AB90" s="131" t="str">
        <f>+Plant_Information!$B$14</f>
        <v>CUY</v>
      </c>
      <c r="AC90" s="70"/>
    </row>
    <row r="91" spans="2:29" x14ac:dyDescent="0.2">
      <c r="B91" t="str">
        <f>+'Aggregate, Plant Pick-up'!$C$5</f>
        <v>Complete on PLANT INFORMATION TAB</v>
      </c>
      <c r="C91" t="str">
        <f>+'Aggregate, Plant Pick-up'!$C$6</f>
        <v>LAFARGE-MARBLEHEAD "OSBORNE-CLEVELAND"</v>
      </c>
      <c r="D91" t="str">
        <f>+Plant_Information!$B$10</f>
        <v>04105-28</v>
      </c>
      <c r="E91" t="str">
        <f>+Plant_Information!$B$11</f>
        <v>2100 CENTRAL FURNACE ROAD</v>
      </c>
      <c r="F91" t="str">
        <f>+Plant_Information!$B$12</f>
        <v>CLEVELAND, OH, 44115</v>
      </c>
      <c r="G91" t="str">
        <f>+Plant_Information!$B$13</f>
        <v>12</v>
      </c>
      <c r="H91" s="75" t="str">
        <f>+Plant_Information!$B$14</f>
        <v>CUY</v>
      </c>
      <c r="I91" t="str">
        <f>+'Aggregate, Plant Pick-up'!I$7</f>
        <v>Slag*</v>
      </c>
      <c r="J91" t="str">
        <f>CONCATENATE('Aggregate, Plant Pick-up'!F30," ( ",'Aggregate, Plant Pick-up'!G32," )")</f>
        <v>No. 67 ( 703.05 )</v>
      </c>
      <c r="K91" s="70">
        <f>+'Aggregate, Plant Pick-up'!I32</f>
        <v>0</v>
      </c>
      <c r="Q91" t="str">
        <f>Plant_Information!$B$6</f>
        <v>(INSERT VENDOR NAME HERE)</v>
      </c>
      <c r="R91" t="str">
        <f>'HAULING RATES- ODOT Locations'!$A$104</f>
        <v>District 6</v>
      </c>
      <c r="S91" t="str">
        <f>'HAULING RATES- ODOT Locations'!A111</f>
        <v>Fayette</v>
      </c>
      <c r="T91" t="str">
        <f>'HAULING RATES- ODOT Locations'!B111</f>
        <v>Jeffersonville OP, 11859 OH-435, Jeffersonville, OH 43128</v>
      </c>
      <c r="U91" t="str">
        <f>'HAULING RATES- ODOT Locations'!C$8</f>
        <v>Stone</v>
      </c>
      <c r="V91" s="146">
        <f>'HAULING RATES- ODOT Locations'!C111</f>
        <v>0</v>
      </c>
      <c r="W91" s="131" t="str">
        <f>+'Aggregate, Plant Pick-up'!$C$6</f>
        <v>LAFARGE-MARBLEHEAD "OSBORNE-CLEVELAND"</v>
      </c>
      <c r="X91" s="131" t="str">
        <f>+Plant_Information!$B$10</f>
        <v>04105-28</v>
      </c>
      <c r="Y91" s="131" t="str">
        <f>+Plant_Information!$B$11</f>
        <v>2100 CENTRAL FURNACE ROAD</v>
      </c>
      <c r="Z91" s="131" t="str">
        <f>+Plant_Information!$B$12</f>
        <v>CLEVELAND, OH, 44115</v>
      </c>
      <c r="AA91" s="131" t="str">
        <f>+Plant_Information!$B$13</f>
        <v>12</v>
      </c>
      <c r="AB91" s="131" t="str">
        <f>+Plant_Information!$B$14</f>
        <v>CUY</v>
      </c>
      <c r="AC91" s="70"/>
    </row>
    <row r="92" spans="2:29" x14ac:dyDescent="0.2">
      <c r="B92" t="str">
        <f>+'Aggregate, Plant Pick-up'!$C$5</f>
        <v>Complete on PLANT INFORMATION TAB</v>
      </c>
      <c r="C92" t="str">
        <f>+'Aggregate, Plant Pick-up'!$C$6</f>
        <v>LAFARGE-MARBLEHEAD "OSBORNE-CLEVELAND"</v>
      </c>
      <c r="D92" t="str">
        <f>+Plant_Information!$B$10</f>
        <v>04105-28</v>
      </c>
      <c r="E92" t="str">
        <f>+Plant_Information!$B$11</f>
        <v>2100 CENTRAL FURNACE ROAD</v>
      </c>
      <c r="F92" t="str">
        <f>+Plant_Information!$B$12</f>
        <v>CLEVELAND, OH, 44115</v>
      </c>
      <c r="G92" t="str">
        <f>+Plant_Information!$B$13</f>
        <v>12</v>
      </c>
      <c r="H92" s="75" t="str">
        <f>+Plant_Information!$B$14</f>
        <v>CUY</v>
      </c>
      <c r="I92" t="str">
        <f>+'Aggregate, Plant Pick-up'!I$7</f>
        <v>Slag*</v>
      </c>
      <c r="J92" t="str">
        <f>CONCATENATE('Aggregate, Plant Pick-up'!F30," ( ",'Aggregate, Plant Pick-up'!G33," )")</f>
        <v>No. 67 ( 422.02 )</v>
      </c>
      <c r="K92" s="70">
        <f>+'Aggregate, Plant Pick-up'!I33</f>
        <v>0</v>
      </c>
      <c r="Q92" t="str">
        <f>Plant_Information!$B$6</f>
        <v>(INSERT VENDOR NAME HERE)</v>
      </c>
      <c r="R92" t="str">
        <f>'HAULING RATES- ODOT Locations'!$A$104</f>
        <v>District 6</v>
      </c>
      <c r="S92" t="str">
        <f>'HAULING RATES- ODOT Locations'!A112</f>
        <v>Franklin</v>
      </c>
      <c r="T92" t="str">
        <f>'HAULING RATES- ODOT Locations'!B112</f>
        <v>Fifth Ave. OP, 3500 E Fifth Avenue, Columbus OH 43219</v>
      </c>
      <c r="U92" t="str">
        <f>'HAULING RATES- ODOT Locations'!C$8</f>
        <v>Stone</v>
      </c>
      <c r="V92" s="146">
        <f>'HAULING RATES- ODOT Locations'!C112</f>
        <v>0</v>
      </c>
      <c r="W92" s="131" t="str">
        <f>+'Aggregate, Plant Pick-up'!$C$6</f>
        <v>LAFARGE-MARBLEHEAD "OSBORNE-CLEVELAND"</v>
      </c>
      <c r="X92" s="131" t="str">
        <f>+Plant_Information!$B$10</f>
        <v>04105-28</v>
      </c>
      <c r="Y92" s="131" t="str">
        <f>+Plant_Information!$B$11</f>
        <v>2100 CENTRAL FURNACE ROAD</v>
      </c>
      <c r="Z92" s="131" t="str">
        <f>+Plant_Information!$B$12</f>
        <v>CLEVELAND, OH, 44115</v>
      </c>
      <c r="AA92" s="131" t="str">
        <f>+Plant_Information!$B$13</f>
        <v>12</v>
      </c>
      <c r="AB92" s="131" t="str">
        <f>+Plant_Information!$B$14</f>
        <v>CUY</v>
      </c>
      <c r="AC92" s="70"/>
    </row>
    <row r="93" spans="2:29" x14ac:dyDescent="0.2">
      <c r="B93" t="str">
        <f>+'Aggregate, Plant Pick-up'!$C$5</f>
        <v>Complete on PLANT INFORMATION TAB</v>
      </c>
      <c r="C93" t="str">
        <f>+'Aggregate, Plant Pick-up'!$C$6</f>
        <v>LAFARGE-MARBLEHEAD "OSBORNE-CLEVELAND"</v>
      </c>
      <c r="D93" t="str">
        <f>+Plant_Information!$B$10</f>
        <v>04105-28</v>
      </c>
      <c r="E93" t="str">
        <f>+Plant_Information!$B$11</f>
        <v>2100 CENTRAL FURNACE ROAD</v>
      </c>
      <c r="F93" t="str">
        <f>+Plant_Information!$B$12</f>
        <v>CLEVELAND, OH, 44115</v>
      </c>
      <c r="G93" t="str">
        <f>+Plant_Information!$B$13</f>
        <v>12</v>
      </c>
      <c r="H93" s="75" t="str">
        <f>+Plant_Information!$B$14</f>
        <v>CUY</v>
      </c>
      <c r="I93" t="str">
        <f>+'Aggregate, Plant Pick-up'!I$7</f>
        <v>Slag*</v>
      </c>
      <c r="J93" t="str">
        <f>CONCATENATE('Aggregate, Plant Pick-up'!F34," ( ",'Aggregate, Plant Pick-up'!G34," )")</f>
        <v>No. 8 ( 703.02 )</v>
      </c>
      <c r="K93" s="70">
        <f>+'Aggregate, Plant Pick-up'!I34</f>
        <v>0</v>
      </c>
      <c r="Q93" t="str">
        <f>Plant_Information!$B$6</f>
        <v>(INSERT VENDOR NAME HERE)</v>
      </c>
      <c r="R93" t="str">
        <f>'HAULING RATES- ODOT Locations'!$A$104</f>
        <v>District 6</v>
      </c>
      <c r="S93" t="str">
        <f>'HAULING RATES- ODOT Locations'!A113</f>
        <v>Franklin</v>
      </c>
      <c r="T93" t="str">
        <f>'HAULING RATES- ODOT Locations'!B113</f>
        <v>Grove City OP, 6000 Haughn Road, Grove City OH 43123 (SR 665 &amp; I-71)</v>
      </c>
      <c r="U93" t="str">
        <f>'HAULING RATES- ODOT Locations'!C$8</f>
        <v>Stone</v>
      </c>
      <c r="V93" s="146">
        <f>'HAULING RATES- ODOT Locations'!C113</f>
        <v>0</v>
      </c>
      <c r="W93" s="131" t="str">
        <f>+'Aggregate, Plant Pick-up'!$C$6</f>
        <v>LAFARGE-MARBLEHEAD "OSBORNE-CLEVELAND"</v>
      </c>
      <c r="X93" s="131" t="str">
        <f>+Plant_Information!$B$10</f>
        <v>04105-28</v>
      </c>
      <c r="Y93" s="131" t="str">
        <f>+Plant_Information!$B$11</f>
        <v>2100 CENTRAL FURNACE ROAD</v>
      </c>
      <c r="Z93" s="131" t="str">
        <f>+Plant_Information!$B$12</f>
        <v>CLEVELAND, OH, 44115</v>
      </c>
      <c r="AA93" s="131" t="str">
        <f>+Plant_Information!$B$13</f>
        <v>12</v>
      </c>
      <c r="AB93" s="131" t="str">
        <f>+Plant_Information!$B$14</f>
        <v>CUY</v>
      </c>
      <c r="AC93" s="70"/>
    </row>
    <row r="94" spans="2:29" x14ac:dyDescent="0.2">
      <c r="B94" t="str">
        <f>+'Aggregate, Plant Pick-up'!$C$5</f>
        <v>Complete on PLANT INFORMATION TAB</v>
      </c>
      <c r="C94" t="str">
        <f>+'Aggregate, Plant Pick-up'!$C$6</f>
        <v>LAFARGE-MARBLEHEAD "OSBORNE-CLEVELAND"</v>
      </c>
      <c r="D94" t="str">
        <f>+Plant_Information!$B$10</f>
        <v>04105-28</v>
      </c>
      <c r="E94" t="str">
        <f>+Plant_Information!$B$11</f>
        <v>2100 CENTRAL FURNACE ROAD</v>
      </c>
      <c r="F94" t="str">
        <f>+Plant_Information!$B$12</f>
        <v>CLEVELAND, OH, 44115</v>
      </c>
      <c r="G94" t="str">
        <f>+Plant_Information!$B$13</f>
        <v>12</v>
      </c>
      <c r="H94" s="75" t="str">
        <f>+Plant_Information!$B$14</f>
        <v>CUY</v>
      </c>
      <c r="I94" t="str">
        <f>+'Aggregate, Plant Pick-up'!I$7</f>
        <v>Slag*</v>
      </c>
      <c r="J94" t="str">
        <f>CONCATENATE('Aggregate, Plant Pick-up'!F34," ( ",'Aggregate, Plant Pick-up'!G35," )")</f>
        <v>No. 8 ( 703.04 )</v>
      </c>
      <c r="K94" s="70">
        <f>+'Aggregate, Plant Pick-up'!I35</f>
        <v>0</v>
      </c>
      <c r="Q94" t="str">
        <f>Plant_Information!$B$6</f>
        <v>(INSERT VENDOR NAME HERE)</v>
      </c>
      <c r="R94" t="str">
        <f>'HAULING RATES- ODOT Locations'!$A$104</f>
        <v>District 6</v>
      </c>
      <c r="S94" t="str">
        <f>'HAULING RATES- ODOT Locations'!A114</f>
        <v>Franklin</v>
      </c>
      <c r="T94" t="str">
        <f>'HAULING RATES- ODOT Locations'!B114</f>
        <v>Franklin Co. Gar.,4730 E Dublin-Granville Road, Westerville OH 43081</v>
      </c>
      <c r="U94" t="str">
        <f>'HAULING RATES- ODOT Locations'!C$8</f>
        <v>Stone</v>
      </c>
      <c r="V94" s="146">
        <f>'HAULING RATES- ODOT Locations'!C114</f>
        <v>0</v>
      </c>
      <c r="W94" s="131" t="str">
        <f>+'Aggregate, Plant Pick-up'!$C$6</f>
        <v>LAFARGE-MARBLEHEAD "OSBORNE-CLEVELAND"</v>
      </c>
      <c r="X94" s="131" t="str">
        <f>+Plant_Information!$B$10</f>
        <v>04105-28</v>
      </c>
      <c r="Y94" s="131" t="str">
        <f>+Plant_Information!$B$11</f>
        <v>2100 CENTRAL FURNACE ROAD</v>
      </c>
      <c r="Z94" s="131" t="str">
        <f>+Plant_Information!$B$12</f>
        <v>CLEVELAND, OH, 44115</v>
      </c>
      <c r="AA94" s="131" t="str">
        <f>+Plant_Information!$B$13</f>
        <v>12</v>
      </c>
      <c r="AB94" s="131" t="str">
        <f>+Plant_Information!$B$14</f>
        <v>CUY</v>
      </c>
      <c r="AC94" s="70"/>
    </row>
    <row r="95" spans="2:29" x14ac:dyDescent="0.2">
      <c r="B95" t="str">
        <f>+'Aggregate, Plant Pick-up'!$C$5</f>
        <v>Complete on PLANT INFORMATION TAB</v>
      </c>
      <c r="C95" t="str">
        <f>+'Aggregate, Plant Pick-up'!$C$6</f>
        <v>LAFARGE-MARBLEHEAD "OSBORNE-CLEVELAND"</v>
      </c>
      <c r="D95" t="str">
        <f>+Plant_Information!$B$10</f>
        <v>04105-28</v>
      </c>
      <c r="E95" t="str">
        <f>+Plant_Information!$B$11</f>
        <v>2100 CENTRAL FURNACE ROAD</v>
      </c>
      <c r="F95" t="str">
        <f>+Plant_Information!$B$12</f>
        <v>CLEVELAND, OH, 44115</v>
      </c>
      <c r="G95" t="str">
        <f>+Plant_Information!$B$13</f>
        <v>12</v>
      </c>
      <c r="H95" s="75" t="str">
        <f>+Plant_Information!$B$14</f>
        <v>CUY</v>
      </c>
      <c r="I95" t="str">
        <f>+'Aggregate, Plant Pick-up'!I$7</f>
        <v>Slag*</v>
      </c>
      <c r="J95" t="str">
        <f>CONCATENATE('Aggregate, Plant Pick-up'!F34," ( ",'Aggregate, Plant Pick-up'!G36," )")</f>
        <v>No. 8 ( 703.05 )</v>
      </c>
      <c r="K95" s="70">
        <f>+'Aggregate, Plant Pick-up'!I36</f>
        <v>0</v>
      </c>
      <c r="Q95" t="str">
        <f>Plant_Information!$B$6</f>
        <v>(INSERT VENDOR NAME HERE)</v>
      </c>
      <c r="R95" t="str">
        <f>'HAULING RATES- ODOT Locations'!$A$104</f>
        <v>District 6</v>
      </c>
      <c r="S95" t="str">
        <f>'HAULING RATES- ODOT Locations'!A115</f>
        <v>Franklin</v>
      </c>
      <c r="T95" t="str">
        <f>'HAULING RATES- ODOT Locations'!B115</f>
        <v>Hilliard OP, 4400 Currency Drive, Columbus OH 43288</v>
      </c>
      <c r="U95" t="str">
        <f>'HAULING RATES- ODOT Locations'!C$8</f>
        <v>Stone</v>
      </c>
      <c r="V95" s="146">
        <f>'HAULING RATES- ODOT Locations'!C115</f>
        <v>0</v>
      </c>
      <c r="W95" s="131" t="str">
        <f>+'Aggregate, Plant Pick-up'!$C$6</f>
        <v>LAFARGE-MARBLEHEAD "OSBORNE-CLEVELAND"</v>
      </c>
      <c r="X95" s="131" t="str">
        <f>+Plant_Information!$B$10</f>
        <v>04105-28</v>
      </c>
      <c r="Y95" s="131" t="str">
        <f>+Plant_Information!$B$11</f>
        <v>2100 CENTRAL FURNACE ROAD</v>
      </c>
      <c r="Z95" s="131" t="str">
        <f>+Plant_Information!$B$12</f>
        <v>CLEVELAND, OH, 44115</v>
      </c>
      <c r="AA95" s="131" t="str">
        <f>+Plant_Information!$B$13</f>
        <v>12</v>
      </c>
      <c r="AB95" s="131" t="str">
        <f>+Plant_Information!$B$14</f>
        <v>CUY</v>
      </c>
      <c r="AC95" s="70"/>
    </row>
    <row r="96" spans="2:29" x14ac:dyDescent="0.2">
      <c r="B96" t="str">
        <f>+'Aggregate, Plant Pick-up'!$C$5</f>
        <v>Complete on PLANT INFORMATION TAB</v>
      </c>
      <c r="C96" t="str">
        <f>+'Aggregate, Plant Pick-up'!$C$6</f>
        <v>LAFARGE-MARBLEHEAD "OSBORNE-CLEVELAND"</v>
      </c>
      <c r="D96" t="str">
        <f>+Plant_Information!$B$10</f>
        <v>04105-28</v>
      </c>
      <c r="E96" t="str">
        <f>+Plant_Information!$B$11</f>
        <v>2100 CENTRAL FURNACE ROAD</v>
      </c>
      <c r="F96" t="str">
        <f>+Plant_Information!$B$12</f>
        <v>CLEVELAND, OH, 44115</v>
      </c>
      <c r="G96" t="str">
        <f>+Plant_Information!$B$13</f>
        <v>12</v>
      </c>
      <c r="H96" s="75" t="str">
        <f>+Plant_Information!$B$14</f>
        <v>CUY</v>
      </c>
      <c r="I96" t="str">
        <f>+'Aggregate, Plant Pick-up'!J$7</f>
        <v>Gravel</v>
      </c>
      <c r="J96" t="str">
        <f>CONCATENATE('Aggregate, Plant Pick-up'!F9," ( ",'Aggregate, Plant Pick-up'!G9," )")</f>
        <v>No. 1 ( 703.02 )</v>
      </c>
      <c r="K96" s="70">
        <f>+'Aggregate, Plant Pick-up'!J9</f>
        <v>0</v>
      </c>
      <c r="Q96" t="str">
        <f>Plant_Information!$B$6</f>
        <v>(INSERT VENDOR NAME HERE)</v>
      </c>
      <c r="R96" t="str">
        <f>'HAULING RATES- ODOT Locations'!$A$104</f>
        <v>District 6</v>
      </c>
      <c r="S96" t="str">
        <f>'HAULING RATES- ODOT Locations'!A116</f>
        <v>Madison</v>
      </c>
      <c r="T96" t="str">
        <f>'HAULING RATES- ODOT Locations'!B116</f>
        <v>6640 State Route 29, West Jefferson, OH  43162</v>
      </c>
      <c r="U96" t="str">
        <f>'HAULING RATES- ODOT Locations'!C$8</f>
        <v>Stone</v>
      </c>
      <c r="V96" s="146">
        <f>'HAULING RATES- ODOT Locations'!C116</f>
        <v>0</v>
      </c>
      <c r="W96" s="131" t="str">
        <f>+'Aggregate, Plant Pick-up'!$C$6</f>
        <v>LAFARGE-MARBLEHEAD "OSBORNE-CLEVELAND"</v>
      </c>
      <c r="X96" s="131" t="str">
        <f>+Plant_Information!$B$10</f>
        <v>04105-28</v>
      </c>
      <c r="Y96" s="131" t="str">
        <f>+Plant_Information!$B$11</f>
        <v>2100 CENTRAL FURNACE ROAD</v>
      </c>
      <c r="Z96" s="131" t="str">
        <f>+Plant_Information!$B$12</f>
        <v>CLEVELAND, OH, 44115</v>
      </c>
      <c r="AA96" s="131" t="str">
        <f>+Plant_Information!$B$13</f>
        <v>12</v>
      </c>
      <c r="AB96" s="131" t="str">
        <f>+Plant_Information!$B$14</f>
        <v>CUY</v>
      </c>
      <c r="AC96" s="70"/>
    </row>
    <row r="97" spans="2:29" x14ac:dyDescent="0.2">
      <c r="B97" t="str">
        <f>+'Aggregate, Plant Pick-up'!$C$5</f>
        <v>Complete on PLANT INFORMATION TAB</v>
      </c>
      <c r="C97" t="str">
        <f>+'Aggregate, Plant Pick-up'!$C$6</f>
        <v>LAFARGE-MARBLEHEAD "OSBORNE-CLEVELAND"</v>
      </c>
      <c r="D97" t="str">
        <f>+Plant_Information!$B$10</f>
        <v>04105-28</v>
      </c>
      <c r="E97" t="str">
        <f>+Plant_Information!$B$11</f>
        <v>2100 CENTRAL FURNACE ROAD</v>
      </c>
      <c r="F97" t="str">
        <f>+Plant_Information!$B$12</f>
        <v>CLEVELAND, OH, 44115</v>
      </c>
      <c r="G97" t="str">
        <f>+Plant_Information!$B$13</f>
        <v>12</v>
      </c>
      <c r="H97" s="75" t="str">
        <f>+Plant_Information!$B$14</f>
        <v>CUY</v>
      </c>
      <c r="I97" t="str">
        <f>+'Aggregate, Plant Pick-up'!J$7</f>
        <v>Gravel</v>
      </c>
      <c r="J97" t="str">
        <f>CONCATENATE('Aggregate, Plant Pick-up'!F9," ( ",'Aggregate, Plant Pick-up'!G10," )")</f>
        <v>No. 1 ( 703.04 )</v>
      </c>
      <c r="K97" s="70">
        <f>+'Aggregate, Plant Pick-up'!J10</f>
        <v>0</v>
      </c>
      <c r="Q97" t="str">
        <f>Plant_Information!$B$6</f>
        <v>(INSERT VENDOR NAME HERE)</v>
      </c>
      <c r="R97" t="str">
        <f>'HAULING RATES- ODOT Locations'!$A$104</f>
        <v>District 6</v>
      </c>
      <c r="S97" t="str">
        <f>'HAULING RATES- ODOT Locations'!A117</f>
        <v>Madison</v>
      </c>
      <c r="T97" t="str">
        <f>'HAULING RATES- ODOT Locations'!B117</f>
        <v>15664 US 62, Mount Sterling, OH 43143</v>
      </c>
      <c r="U97" t="str">
        <f>'HAULING RATES- ODOT Locations'!C$8</f>
        <v>Stone</v>
      </c>
      <c r="V97" s="146">
        <f>'HAULING RATES- ODOT Locations'!C117</f>
        <v>0</v>
      </c>
      <c r="W97" s="131" t="str">
        <f>+'Aggregate, Plant Pick-up'!$C$6</f>
        <v>LAFARGE-MARBLEHEAD "OSBORNE-CLEVELAND"</v>
      </c>
      <c r="X97" s="131" t="str">
        <f>+Plant_Information!$B$10</f>
        <v>04105-28</v>
      </c>
      <c r="Y97" s="131" t="str">
        <f>+Plant_Information!$B$11</f>
        <v>2100 CENTRAL FURNACE ROAD</v>
      </c>
      <c r="Z97" s="131" t="str">
        <f>+Plant_Information!$B$12</f>
        <v>CLEVELAND, OH, 44115</v>
      </c>
      <c r="AA97" s="131" t="str">
        <f>+Plant_Information!$B$13</f>
        <v>12</v>
      </c>
      <c r="AB97" s="131" t="str">
        <f>+Plant_Information!$B$14</f>
        <v>CUY</v>
      </c>
      <c r="AC97" s="70"/>
    </row>
    <row r="98" spans="2:29" x14ac:dyDescent="0.2">
      <c r="B98" t="str">
        <f>+'Aggregate, Plant Pick-up'!$C$5</f>
        <v>Complete on PLANT INFORMATION TAB</v>
      </c>
      <c r="C98" t="str">
        <f>+'Aggregate, Plant Pick-up'!$C$6</f>
        <v>LAFARGE-MARBLEHEAD "OSBORNE-CLEVELAND"</v>
      </c>
      <c r="D98" t="str">
        <f>+Plant_Information!$B$10</f>
        <v>04105-28</v>
      </c>
      <c r="E98" t="str">
        <f>+Plant_Information!$B$11</f>
        <v>2100 CENTRAL FURNACE ROAD</v>
      </c>
      <c r="F98" t="str">
        <f>+Plant_Information!$B$12</f>
        <v>CLEVELAND, OH, 44115</v>
      </c>
      <c r="G98" t="str">
        <f>+Plant_Information!$B$13</f>
        <v>12</v>
      </c>
      <c r="H98" s="75" t="str">
        <f>+Plant_Information!$B$14</f>
        <v>CUY</v>
      </c>
      <c r="I98" t="str">
        <f>+'Aggregate, Plant Pick-up'!J$7</f>
        <v>Gravel</v>
      </c>
      <c r="J98" t="str">
        <f>CONCATENATE('Aggregate, Plant Pick-up'!F9," ( ",'Aggregate, Plant Pick-up'!G11," )")</f>
        <v>No. 1 ( 703.05 )</v>
      </c>
      <c r="K98" s="70">
        <f>+'Aggregate, Plant Pick-up'!J11</f>
        <v>0</v>
      </c>
      <c r="Q98" t="str">
        <f>Plant_Information!$B$6</f>
        <v>(INSERT VENDOR NAME HERE)</v>
      </c>
      <c r="R98" t="str">
        <f>'HAULING RATES- ODOT Locations'!$A$104</f>
        <v>District 6</v>
      </c>
      <c r="S98" t="str">
        <f>'HAULING RATES- ODOT Locations'!A118</f>
        <v>Marion</v>
      </c>
      <c r="T98" t="str">
        <f>'HAULING RATES- ODOT Locations'!B118</f>
        <v>Marion Co. Gar., 1775 Marion-Williamsport Road E., Marion, OH 43302</v>
      </c>
      <c r="U98" t="str">
        <f>'HAULING RATES- ODOT Locations'!C$8</f>
        <v>Stone</v>
      </c>
      <c r="V98" s="146">
        <f>'HAULING RATES- ODOT Locations'!C118</f>
        <v>0</v>
      </c>
      <c r="W98" s="131" t="str">
        <f>+'Aggregate, Plant Pick-up'!$C$6</f>
        <v>LAFARGE-MARBLEHEAD "OSBORNE-CLEVELAND"</v>
      </c>
      <c r="X98" s="131" t="str">
        <f>+Plant_Information!$B$10</f>
        <v>04105-28</v>
      </c>
      <c r="Y98" s="131" t="str">
        <f>+Plant_Information!$B$11</f>
        <v>2100 CENTRAL FURNACE ROAD</v>
      </c>
      <c r="Z98" s="131" t="str">
        <f>+Plant_Information!$B$12</f>
        <v>CLEVELAND, OH, 44115</v>
      </c>
      <c r="AA98" s="131" t="str">
        <f>+Plant_Information!$B$13</f>
        <v>12</v>
      </c>
      <c r="AB98" s="131" t="str">
        <f>+Plant_Information!$B$14</f>
        <v>CUY</v>
      </c>
      <c r="AC98" s="70"/>
    </row>
    <row r="99" spans="2:29" x14ac:dyDescent="0.2">
      <c r="B99" t="str">
        <f>+'Aggregate, Plant Pick-up'!$C$5</f>
        <v>Complete on PLANT INFORMATION TAB</v>
      </c>
      <c r="C99" t="str">
        <f>+'Aggregate, Plant Pick-up'!$C$6</f>
        <v>LAFARGE-MARBLEHEAD "OSBORNE-CLEVELAND"</v>
      </c>
      <c r="D99" t="str">
        <f>+Plant_Information!$B$10</f>
        <v>04105-28</v>
      </c>
      <c r="E99" t="str">
        <f>+Plant_Information!$B$11</f>
        <v>2100 CENTRAL FURNACE ROAD</v>
      </c>
      <c r="F99" t="str">
        <f>+Plant_Information!$B$12</f>
        <v>CLEVELAND, OH, 44115</v>
      </c>
      <c r="G99" t="str">
        <f>+Plant_Information!$B$13</f>
        <v>12</v>
      </c>
      <c r="H99" s="75" t="str">
        <f>+Plant_Information!$B$14</f>
        <v>CUY</v>
      </c>
      <c r="I99" t="str">
        <f>+'Aggregate, Plant Pick-up'!J$7</f>
        <v>Gravel</v>
      </c>
      <c r="J99" t="str">
        <f>CONCATENATE('Aggregate, Plant Pick-up'!F12," ( ",'Aggregate, Plant Pick-up'!G12," )")</f>
        <v>No. 2 ( 703.02 )</v>
      </c>
      <c r="K99" s="70">
        <f>+'Aggregate, Plant Pick-up'!J12</f>
        <v>0</v>
      </c>
      <c r="Q99" t="str">
        <f>Plant_Information!$B$6</f>
        <v>(INSERT VENDOR NAME HERE)</v>
      </c>
      <c r="R99" t="str">
        <f>'HAULING RATES- ODOT Locations'!$A$104</f>
        <v>District 6</v>
      </c>
      <c r="S99" t="str">
        <f>'HAULING RATES- ODOT Locations'!A119</f>
        <v>Morrow</v>
      </c>
      <c r="T99" t="str">
        <f>'HAULING RATES- ODOT Locations'!B119</f>
        <v>Chesterville OP, 3988 Co Rd 172, Mount Gilead, OH 43338</v>
      </c>
      <c r="U99" t="str">
        <f>'HAULING RATES- ODOT Locations'!C$8</f>
        <v>Stone</v>
      </c>
      <c r="V99" s="146">
        <f>'HAULING RATES- ODOT Locations'!C119</f>
        <v>0</v>
      </c>
      <c r="W99" s="131" t="str">
        <f>+'Aggregate, Plant Pick-up'!$C$6</f>
        <v>LAFARGE-MARBLEHEAD "OSBORNE-CLEVELAND"</v>
      </c>
      <c r="X99" s="131" t="str">
        <f>+Plant_Information!$B$10</f>
        <v>04105-28</v>
      </c>
      <c r="Y99" s="131" t="str">
        <f>+Plant_Information!$B$11</f>
        <v>2100 CENTRAL FURNACE ROAD</v>
      </c>
      <c r="Z99" s="131" t="str">
        <f>+Plant_Information!$B$12</f>
        <v>CLEVELAND, OH, 44115</v>
      </c>
      <c r="AA99" s="131" t="str">
        <f>+Plant_Information!$B$13</f>
        <v>12</v>
      </c>
      <c r="AB99" s="131" t="str">
        <f>+Plant_Information!$B$14</f>
        <v>CUY</v>
      </c>
      <c r="AC99" s="70"/>
    </row>
    <row r="100" spans="2:29" x14ac:dyDescent="0.2">
      <c r="B100" t="str">
        <f>+'Aggregate, Plant Pick-up'!$C$5</f>
        <v>Complete on PLANT INFORMATION TAB</v>
      </c>
      <c r="C100" t="str">
        <f>+'Aggregate, Plant Pick-up'!$C$6</f>
        <v>LAFARGE-MARBLEHEAD "OSBORNE-CLEVELAND"</v>
      </c>
      <c r="D100" t="str">
        <f>+Plant_Information!$B$10</f>
        <v>04105-28</v>
      </c>
      <c r="E100" t="str">
        <f>+Plant_Information!$B$11</f>
        <v>2100 CENTRAL FURNACE ROAD</v>
      </c>
      <c r="F100" t="str">
        <f>+Plant_Information!$B$12</f>
        <v>CLEVELAND, OH, 44115</v>
      </c>
      <c r="G100" t="str">
        <f>+Plant_Information!$B$13</f>
        <v>12</v>
      </c>
      <c r="H100" s="75" t="str">
        <f>+Plant_Information!$B$14</f>
        <v>CUY</v>
      </c>
      <c r="I100" t="str">
        <f>+'Aggregate, Plant Pick-up'!J$7</f>
        <v>Gravel</v>
      </c>
      <c r="J100" t="str">
        <f>CONCATENATE('Aggregate, Plant Pick-up'!F12," ( ",'Aggregate, Plant Pick-up'!G13," )")</f>
        <v>No. 2 ( 703.04 )</v>
      </c>
      <c r="K100" s="70">
        <f>+'Aggregate, Plant Pick-up'!J13</f>
        <v>0</v>
      </c>
      <c r="Q100" t="str">
        <f>Plant_Information!$B$6</f>
        <v>(INSERT VENDOR NAME HERE)</v>
      </c>
      <c r="R100" t="str">
        <f>'HAULING RATES- ODOT Locations'!$A$104</f>
        <v>District 6</v>
      </c>
      <c r="S100" t="str">
        <f>'HAULING RATES- ODOT Locations'!A120</f>
        <v>Morrow</v>
      </c>
      <c r="T100" t="str">
        <f>'HAULING RATES- ODOT Locations'!B120</f>
        <v>Morrow Co. Gar., 710 E. Union St, Mt. Gilead, OH 43338</v>
      </c>
      <c r="U100" t="str">
        <f>'HAULING RATES- ODOT Locations'!C$8</f>
        <v>Stone</v>
      </c>
      <c r="V100" s="146">
        <f>'HAULING RATES- ODOT Locations'!C120</f>
        <v>0</v>
      </c>
      <c r="W100" s="131" t="str">
        <f>+'Aggregate, Plant Pick-up'!$C$6</f>
        <v>LAFARGE-MARBLEHEAD "OSBORNE-CLEVELAND"</v>
      </c>
      <c r="X100" s="131" t="str">
        <f>+Plant_Information!$B$10</f>
        <v>04105-28</v>
      </c>
      <c r="Y100" s="131" t="str">
        <f>+Plant_Information!$B$11</f>
        <v>2100 CENTRAL FURNACE ROAD</v>
      </c>
      <c r="Z100" s="131" t="str">
        <f>+Plant_Information!$B$12</f>
        <v>CLEVELAND, OH, 44115</v>
      </c>
      <c r="AA100" s="131" t="str">
        <f>+Plant_Information!$B$13</f>
        <v>12</v>
      </c>
      <c r="AB100" s="131" t="str">
        <f>+Plant_Information!$B$14</f>
        <v>CUY</v>
      </c>
      <c r="AC100" s="70"/>
    </row>
    <row r="101" spans="2:29" x14ac:dyDescent="0.2">
      <c r="B101" t="str">
        <f>+'Aggregate, Plant Pick-up'!$C$5</f>
        <v>Complete on PLANT INFORMATION TAB</v>
      </c>
      <c r="C101" t="str">
        <f>+'Aggregate, Plant Pick-up'!$C$6</f>
        <v>LAFARGE-MARBLEHEAD "OSBORNE-CLEVELAND"</v>
      </c>
      <c r="D101" t="str">
        <f>+Plant_Information!$B$10</f>
        <v>04105-28</v>
      </c>
      <c r="E101" t="str">
        <f>+Plant_Information!$B$11</f>
        <v>2100 CENTRAL FURNACE ROAD</v>
      </c>
      <c r="F101" t="str">
        <f>+Plant_Information!$B$12</f>
        <v>CLEVELAND, OH, 44115</v>
      </c>
      <c r="G101" t="str">
        <f>+Plant_Information!$B$13</f>
        <v>12</v>
      </c>
      <c r="H101" s="75" t="str">
        <f>+Plant_Information!$B$14</f>
        <v>CUY</v>
      </c>
      <c r="I101" t="str">
        <f>+'Aggregate, Plant Pick-up'!J$7</f>
        <v>Gravel</v>
      </c>
      <c r="J101" t="str">
        <f>CONCATENATE('Aggregate, Plant Pick-up'!F12," ( ",'Aggregate, Plant Pick-up'!G14," )")</f>
        <v>No. 2 ( 703.05 )</v>
      </c>
      <c r="K101" s="70">
        <f>+'Aggregate, Plant Pick-up'!J14</f>
        <v>0</v>
      </c>
      <c r="Q101" t="str">
        <f>Plant_Information!$B$6</f>
        <v>(INSERT VENDOR NAME HERE)</v>
      </c>
      <c r="R101" t="str">
        <f>'HAULING RATES- ODOT Locations'!$A$104</f>
        <v>District 6</v>
      </c>
      <c r="S101" t="str">
        <f>'HAULING RATES- ODOT Locations'!A121</f>
        <v>Pickaway</v>
      </c>
      <c r="T101" t="str">
        <f>'HAULING RATES- ODOT Locations'!B121</f>
        <v>Pickaway Co. Gar., 150 Highland Avenue, Circleville, OH 43113</v>
      </c>
      <c r="U101" t="str">
        <f>'HAULING RATES- ODOT Locations'!C$8</f>
        <v>Stone</v>
      </c>
      <c r="V101" s="146">
        <f>'HAULING RATES- ODOT Locations'!C121</f>
        <v>0</v>
      </c>
      <c r="W101" s="131" t="str">
        <f>+'Aggregate, Plant Pick-up'!$C$6</f>
        <v>LAFARGE-MARBLEHEAD "OSBORNE-CLEVELAND"</v>
      </c>
      <c r="X101" s="131" t="str">
        <f>+Plant_Information!$B$10</f>
        <v>04105-28</v>
      </c>
      <c r="Y101" s="131" t="str">
        <f>+Plant_Information!$B$11</f>
        <v>2100 CENTRAL FURNACE ROAD</v>
      </c>
      <c r="Z101" s="131" t="str">
        <f>+Plant_Information!$B$12</f>
        <v>CLEVELAND, OH, 44115</v>
      </c>
      <c r="AA101" s="131" t="str">
        <f>+Plant_Information!$B$13</f>
        <v>12</v>
      </c>
      <c r="AB101" s="131" t="str">
        <f>+Plant_Information!$B$14</f>
        <v>CUY</v>
      </c>
      <c r="AC101" s="70"/>
    </row>
    <row r="102" spans="2:29" x14ac:dyDescent="0.2">
      <c r="B102" t="str">
        <f>+'Aggregate, Plant Pick-up'!$C$5</f>
        <v>Complete on PLANT INFORMATION TAB</v>
      </c>
      <c r="C102" t="str">
        <f>+'Aggregate, Plant Pick-up'!$C$6</f>
        <v>LAFARGE-MARBLEHEAD "OSBORNE-CLEVELAND"</v>
      </c>
      <c r="D102" t="str">
        <f>+Plant_Information!$B$10</f>
        <v>04105-28</v>
      </c>
      <c r="E102" t="str">
        <f>+Plant_Information!$B$11</f>
        <v>2100 CENTRAL FURNACE ROAD</v>
      </c>
      <c r="F102" t="str">
        <f>+Plant_Information!$B$12</f>
        <v>CLEVELAND, OH, 44115</v>
      </c>
      <c r="G102" t="str">
        <f>+Plant_Information!$B$13</f>
        <v>12</v>
      </c>
      <c r="H102" s="75" t="str">
        <f>+Plant_Information!$B$14</f>
        <v>CUY</v>
      </c>
      <c r="I102" t="str">
        <f>+'Aggregate, Plant Pick-up'!J$7</f>
        <v>Gravel</v>
      </c>
      <c r="J102" t="str">
        <f>CONCATENATE('Aggregate, Plant Pick-up'!F15," ( ",'Aggregate, Plant Pick-up'!G15," )")</f>
        <v>No. 3 ( 703.02 )</v>
      </c>
      <c r="K102" s="70">
        <f>+'Aggregate, Plant Pick-up'!J15</f>
        <v>0</v>
      </c>
      <c r="Q102" t="str">
        <f>Plant_Information!$B$6</f>
        <v>(INSERT VENDOR NAME HERE)</v>
      </c>
      <c r="R102" t="str">
        <f>'HAULING RATES- ODOT Locations'!$A$104</f>
        <v>District 6</v>
      </c>
      <c r="S102" t="str">
        <f>'HAULING RATES- ODOT Locations'!A122</f>
        <v>Union</v>
      </c>
      <c r="T102" t="str">
        <f>'HAULING RATES- ODOT Locations'!B122</f>
        <v>Union Co. Gar., 1717 Collins Ave Marysville, OH  43040</v>
      </c>
      <c r="U102" t="str">
        <f>'HAULING RATES- ODOT Locations'!C$8</f>
        <v>Stone</v>
      </c>
      <c r="V102" s="146">
        <f>'HAULING RATES- ODOT Locations'!C122</f>
        <v>0</v>
      </c>
      <c r="W102" s="131" t="str">
        <f>+'Aggregate, Plant Pick-up'!$C$6</f>
        <v>LAFARGE-MARBLEHEAD "OSBORNE-CLEVELAND"</v>
      </c>
      <c r="X102" s="131" t="str">
        <f>+Plant_Information!$B$10</f>
        <v>04105-28</v>
      </c>
      <c r="Y102" s="131" t="str">
        <f>+Plant_Information!$B$11</f>
        <v>2100 CENTRAL FURNACE ROAD</v>
      </c>
      <c r="Z102" s="131" t="str">
        <f>+Plant_Information!$B$12</f>
        <v>CLEVELAND, OH, 44115</v>
      </c>
      <c r="AA102" s="131" t="str">
        <f>+Plant_Information!$B$13</f>
        <v>12</v>
      </c>
      <c r="AB102" s="131" t="str">
        <f>+Plant_Information!$B$14</f>
        <v>CUY</v>
      </c>
      <c r="AC102" s="70"/>
    </row>
    <row r="103" spans="2:29" x14ac:dyDescent="0.2">
      <c r="B103" t="str">
        <f>+'Aggregate, Plant Pick-up'!$C$5</f>
        <v>Complete on PLANT INFORMATION TAB</v>
      </c>
      <c r="C103" t="str">
        <f>+'Aggregate, Plant Pick-up'!$C$6</f>
        <v>LAFARGE-MARBLEHEAD "OSBORNE-CLEVELAND"</v>
      </c>
      <c r="D103" t="str">
        <f>+Plant_Information!$B$10</f>
        <v>04105-28</v>
      </c>
      <c r="E103" t="str">
        <f>+Plant_Information!$B$11</f>
        <v>2100 CENTRAL FURNACE ROAD</v>
      </c>
      <c r="F103" t="str">
        <f>+Plant_Information!$B$12</f>
        <v>CLEVELAND, OH, 44115</v>
      </c>
      <c r="G103" t="str">
        <f>+Plant_Information!$B$13</f>
        <v>12</v>
      </c>
      <c r="H103" s="75" t="str">
        <f>+Plant_Information!$B$14</f>
        <v>CUY</v>
      </c>
      <c r="I103" t="str">
        <f>+'Aggregate, Plant Pick-up'!J$7</f>
        <v>Gravel</v>
      </c>
      <c r="J103" t="str">
        <f>CONCATENATE('Aggregate, Plant Pick-up'!F15," ( ",'Aggregate, Plant Pick-up'!G16," )")</f>
        <v>No. 3 ( 703.04 )</v>
      </c>
      <c r="K103" s="70">
        <f>+'Aggregate, Plant Pick-up'!J16</f>
        <v>0</v>
      </c>
      <c r="Q103" t="str">
        <f>Plant_Information!$B$6</f>
        <v>(INSERT VENDOR NAME HERE)</v>
      </c>
      <c r="R103" t="str">
        <f>'HAULING RATES- ODOT Locations'!$A$104</f>
        <v>District 6</v>
      </c>
      <c r="S103" t="str">
        <f>'HAULING RATES- ODOT Locations'!A123</f>
        <v>Union</v>
      </c>
      <c r="T103" t="str">
        <f>'HAULING RATES- ODOT Locations'!B123</f>
        <v>Richwood OP, 11304 SR 47, Richwood, OH 43344</v>
      </c>
      <c r="U103" t="str">
        <f>'HAULING RATES- ODOT Locations'!C$8</f>
        <v>Stone</v>
      </c>
      <c r="V103" s="146">
        <f>'HAULING RATES- ODOT Locations'!C123</f>
        <v>0</v>
      </c>
      <c r="W103" s="131" t="str">
        <f>+'Aggregate, Plant Pick-up'!$C$6</f>
        <v>LAFARGE-MARBLEHEAD "OSBORNE-CLEVELAND"</v>
      </c>
      <c r="X103" s="131" t="str">
        <f>+Plant_Information!$B$10</f>
        <v>04105-28</v>
      </c>
      <c r="Y103" s="131" t="str">
        <f>+Plant_Information!$B$11</f>
        <v>2100 CENTRAL FURNACE ROAD</v>
      </c>
      <c r="Z103" s="131" t="str">
        <f>+Plant_Information!$B$12</f>
        <v>CLEVELAND, OH, 44115</v>
      </c>
      <c r="AA103" s="131" t="str">
        <f>+Plant_Information!$B$13</f>
        <v>12</v>
      </c>
      <c r="AB103" s="131" t="str">
        <f>+Plant_Information!$B$14</f>
        <v>CUY</v>
      </c>
      <c r="AC103" s="70"/>
    </row>
    <row r="104" spans="2:29" x14ac:dyDescent="0.2">
      <c r="B104" t="str">
        <f>+'Aggregate, Plant Pick-up'!$C$5</f>
        <v>Complete on PLANT INFORMATION TAB</v>
      </c>
      <c r="C104" t="str">
        <f>+'Aggregate, Plant Pick-up'!$C$6</f>
        <v>LAFARGE-MARBLEHEAD "OSBORNE-CLEVELAND"</v>
      </c>
      <c r="D104" t="str">
        <f>+Plant_Information!$B$10</f>
        <v>04105-28</v>
      </c>
      <c r="E104" t="str">
        <f>+Plant_Information!$B$11</f>
        <v>2100 CENTRAL FURNACE ROAD</v>
      </c>
      <c r="F104" t="str">
        <f>+Plant_Information!$B$12</f>
        <v>CLEVELAND, OH, 44115</v>
      </c>
      <c r="G104" t="str">
        <f>+Plant_Information!$B$13</f>
        <v>12</v>
      </c>
      <c r="H104" s="75" t="str">
        <f>+Plant_Information!$B$14</f>
        <v>CUY</v>
      </c>
      <c r="I104" t="str">
        <f>+'Aggregate, Plant Pick-up'!J$7</f>
        <v>Gravel</v>
      </c>
      <c r="J104" t="str">
        <f>CONCATENATE('Aggregate, Plant Pick-up'!F15," ( ",'Aggregate, Plant Pick-up'!G17," )")</f>
        <v>No. 3 ( 703.05 )</v>
      </c>
      <c r="K104" s="70">
        <f>+'Aggregate, Plant Pick-up'!J17</f>
        <v>0</v>
      </c>
      <c r="Q104" t="str">
        <f>Plant_Information!$B$6</f>
        <v>(INSERT VENDOR NAME HERE)</v>
      </c>
      <c r="R104" t="str">
        <f>'HAULING RATES- ODOT Locations'!$A$124</f>
        <v>District 7</v>
      </c>
      <c r="S104" t="str">
        <f>'HAULING RATES- ODOT Locations'!A127</f>
        <v>Auglaize</v>
      </c>
      <c r="T104" t="str">
        <f>'HAULING RATES- ODOT Locations'!B127</f>
        <v>511 Commerce Dr., Wapakoneta, OH 45895</v>
      </c>
      <c r="U104" t="str">
        <f>'HAULING RATES- ODOT Locations'!C$8</f>
        <v>Stone</v>
      </c>
      <c r="V104" s="146">
        <f>'HAULING RATES- ODOT Locations'!C127</f>
        <v>0</v>
      </c>
      <c r="W104" s="131" t="str">
        <f>+'Aggregate, Plant Pick-up'!$C$6</f>
        <v>LAFARGE-MARBLEHEAD "OSBORNE-CLEVELAND"</v>
      </c>
      <c r="X104" s="131" t="str">
        <f>+Plant_Information!$B$10</f>
        <v>04105-28</v>
      </c>
      <c r="Y104" s="131" t="str">
        <f>+Plant_Information!$B$11</f>
        <v>2100 CENTRAL FURNACE ROAD</v>
      </c>
      <c r="Z104" s="131" t="str">
        <f>+Plant_Information!$B$12</f>
        <v>CLEVELAND, OH, 44115</v>
      </c>
      <c r="AA104" s="131" t="str">
        <f>+Plant_Information!$B$13</f>
        <v>12</v>
      </c>
      <c r="AB104" s="131" t="str">
        <f>+Plant_Information!$B$14</f>
        <v>CUY</v>
      </c>
      <c r="AC104" s="70"/>
    </row>
    <row r="105" spans="2:29" x14ac:dyDescent="0.2">
      <c r="B105" t="str">
        <f>+'Aggregate, Plant Pick-up'!$C$5</f>
        <v>Complete on PLANT INFORMATION TAB</v>
      </c>
      <c r="C105" t="str">
        <f>+'Aggregate, Plant Pick-up'!$C$6</f>
        <v>LAFARGE-MARBLEHEAD "OSBORNE-CLEVELAND"</v>
      </c>
      <c r="D105" t="str">
        <f>+Plant_Information!$B$10</f>
        <v>04105-28</v>
      </c>
      <c r="E105" t="str">
        <f>+Plant_Information!$B$11</f>
        <v>2100 CENTRAL FURNACE ROAD</v>
      </c>
      <c r="F105" t="str">
        <f>+Plant_Information!$B$12</f>
        <v>CLEVELAND, OH, 44115</v>
      </c>
      <c r="G105" t="str">
        <f>+Plant_Information!$B$13</f>
        <v>12</v>
      </c>
      <c r="H105" s="75" t="str">
        <f>+Plant_Information!$B$14</f>
        <v>CUY</v>
      </c>
      <c r="I105" t="str">
        <f>+'Aggregate, Plant Pick-up'!J$7</f>
        <v>Gravel</v>
      </c>
      <c r="J105" t="str">
        <f>CONCATENATE('Aggregate, Plant Pick-up'!F18," ( ",'Aggregate, Plant Pick-up'!G18," )")</f>
        <v>No. 4 ( 703.02 )</v>
      </c>
      <c r="K105" s="70">
        <f>+'Aggregate, Plant Pick-up'!J18</f>
        <v>0</v>
      </c>
      <c r="Q105" t="str">
        <f>Plant_Information!$B$6</f>
        <v>(INSERT VENDOR NAME HERE)</v>
      </c>
      <c r="R105" t="str">
        <f>'HAULING RATES- ODOT Locations'!$A$124</f>
        <v>District 7</v>
      </c>
      <c r="S105" t="str">
        <f>'HAULING RATES- ODOT Locations'!A128</f>
        <v>Auglaize</v>
      </c>
      <c r="T105" t="str">
        <f>'HAULING RATES- ODOT Locations'!B128</f>
        <v>802 Armstrong Street, Saint Marys, OH 45885</v>
      </c>
      <c r="U105" t="str">
        <f>'HAULING RATES- ODOT Locations'!C$8</f>
        <v>Stone</v>
      </c>
      <c r="V105" s="146">
        <f>'HAULING RATES- ODOT Locations'!C128</f>
        <v>0</v>
      </c>
      <c r="W105" s="131" t="str">
        <f>+'Aggregate, Plant Pick-up'!$C$6</f>
        <v>LAFARGE-MARBLEHEAD "OSBORNE-CLEVELAND"</v>
      </c>
      <c r="X105" s="131" t="str">
        <f>+Plant_Information!$B$10</f>
        <v>04105-28</v>
      </c>
      <c r="Y105" s="131" t="str">
        <f>+Plant_Information!$B$11</f>
        <v>2100 CENTRAL FURNACE ROAD</v>
      </c>
      <c r="Z105" s="131" t="str">
        <f>+Plant_Information!$B$12</f>
        <v>CLEVELAND, OH, 44115</v>
      </c>
      <c r="AA105" s="131" t="str">
        <f>+Plant_Information!$B$13</f>
        <v>12</v>
      </c>
      <c r="AB105" s="131" t="str">
        <f>+Plant_Information!$B$14</f>
        <v>CUY</v>
      </c>
      <c r="AC105" s="70"/>
    </row>
    <row r="106" spans="2:29" x14ac:dyDescent="0.2">
      <c r="B106" t="str">
        <f>+'Aggregate, Plant Pick-up'!$C$5</f>
        <v>Complete on PLANT INFORMATION TAB</v>
      </c>
      <c r="C106" t="str">
        <f>+'Aggregate, Plant Pick-up'!$C$6</f>
        <v>LAFARGE-MARBLEHEAD "OSBORNE-CLEVELAND"</v>
      </c>
      <c r="D106" t="str">
        <f>+Plant_Information!$B$10</f>
        <v>04105-28</v>
      </c>
      <c r="E106" t="str">
        <f>+Plant_Information!$B$11</f>
        <v>2100 CENTRAL FURNACE ROAD</v>
      </c>
      <c r="F106" t="str">
        <f>+Plant_Information!$B$12</f>
        <v>CLEVELAND, OH, 44115</v>
      </c>
      <c r="G106" t="str">
        <f>+Plant_Information!$B$13</f>
        <v>12</v>
      </c>
      <c r="H106" s="75" t="str">
        <f>+Plant_Information!$B$14</f>
        <v>CUY</v>
      </c>
      <c r="I106" t="str">
        <f>+'Aggregate, Plant Pick-up'!J$7</f>
        <v>Gravel</v>
      </c>
      <c r="J106" t="str">
        <f>CONCATENATE('Aggregate, Plant Pick-up'!F18," ( ",'Aggregate, Plant Pick-up'!G19," )")</f>
        <v>No. 4 ( 703.04 )</v>
      </c>
      <c r="K106" s="70">
        <f>+'Aggregate, Plant Pick-up'!J19</f>
        <v>0</v>
      </c>
      <c r="Q106" t="str">
        <f>Plant_Information!$B$6</f>
        <v>(INSERT VENDOR NAME HERE)</v>
      </c>
      <c r="R106" t="str">
        <f>'HAULING RATES- ODOT Locations'!$A$124</f>
        <v>District 7</v>
      </c>
      <c r="S106" t="str">
        <f>'HAULING RATES- ODOT Locations'!A129</f>
        <v>Champaign</v>
      </c>
      <c r="T106" t="str">
        <f>'HAULING RATES- ODOT Locations'!B129</f>
        <v>2030 N. State Route 235, St. Paris, OH 43084</v>
      </c>
      <c r="U106" t="str">
        <f>'HAULING RATES- ODOT Locations'!C$8</f>
        <v>Stone</v>
      </c>
      <c r="V106" s="146">
        <f>'HAULING RATES- ODOT Locations'!C129</f>
        <v>0</v>
      </c>
      <c r="W106" s="131" t="str">
        <f>+'Aggregate, Plant Pick-up'!$C$6</f>
        <v>LAFARGE-MARBLEHEAD "OSBORNE-CLEVELAND"</v>
      </c>
      <c r="X106" s="131" t="str">
        <f>+Plant_Information!$B$10</f>
        <v>04105-28</v>
      </c>
      <c r="Y106" s="131" t="str">
        <f>+Plant_Information!$B$11</f>
        <v>2100 CENTRAL FURNACE ROAD</v>
      </c>
      <c r="Z106" s="131" t="str">
        <f>+Plant_Information!$B$12</f>
        <v>CLEVELAND, OH, 44115</v>
      </c>
      <c r="AA106" s="131" t="str">
        <f>+Plant_Information!$B$13</f>
        <v>12</v>
      </c>
      <c r="AB106" s="131" t="str">
        <f>+Plant_Information!$B$14</f>
        <v>CUY</v>
      </c>
      <c r="AC106" s="70"/>
    </row>
    <row r="107" spans="2:29" x14ac:dyDescent="0.2">
      <c r="B107" t="str">
        <f>+'Aggregate, Plant Pick-up'!$C$5</f>
        <v>Complete on PLANT INFORMATION TAB</v>
      </c>
      <c r="C107" t="str">
        <f>+'Aggregate, Plant Pick-up'!$C$6</f>
        <v>LAFARGE-MARBLEHEAD "OSBORNE-CLEVELAND"</v>
      </c>
      <c r="D107" t="str">
        <f>+Plant_Information!$B$10</f>
        <v>04105-28</v>
      </c>
      <c r="E107" t="str">
        <f>+Plant_Information!$B$11</f>
        <v>2100 CENTRAL FURNACE ROAD</v>
      </c>
      <c r="F107" t="str">
        <f>+Plant_Information!$B$12</f>
        <v>CLEVELAND, OH, 44115</v>
      </c>
      <c r="G107" t="str">
        <f>+Plant_Information!$B$13</f>
        <v>12</v>
      </c>
      <c r="H107" s="75" t="str">
        <f>+Plant_Information!$B$14</f>
        <v>CUY</v>
      </c>
      <c r="I107" t="str">
        <f>+'Aggregate, Plant Pick-up'!J$7</f>
        <v>Gravel</v>
      </c>
      <c r="J107" t="str">
        <f>CONCATENATE('Aggregate, Plant Pick-up'!F18," ( ",'Aggregate, Plant Pick-up'!G20," )")</f>
        <v>No. 4 ( 703.05 )</v>
      </c>
      <c r="K107" s="70">
        <f>+'Aggregate, Plant Pick-up'!J20</f>
        <v>0</v>
      </c>
      <c r="Q107" t="str">
        <f>Plant_Information!$B$6</f>
        <v>(INSERT VENDOR NAME HERE)</v>
      </c>
      <c r="R107" t="str">
        <f>'HAULING RATES- ODOT Locations'!$A$124</f>
        <v>District 7</v>
      </c>
      <c r="S107" t="str">
        <f>'HAULING RATES- ODOT Locations'!A130</f>
        <v>Champaign</v>
      </c>
      <c r="T107" t="str">
        <f>'HAULING RATES- ODOT Locations'!B130</f>
        <v>217 S. Edgewood Ave., Urbana, OH 43078</v>
      </c>
      <c r="U107" t="str">
        <f>'HAULING RATES- ODOT Locations'!C$8</f>
        <v>Stone</v>
      </c>
      <c r="V107" s="146">
        <f>'HAULING RATES- ODOT Locations'!C130</f>
        <v>0</v>
      </c>
      <c r="W107" s="131" t="str">
        <f>+'Aggregate, Plant Pick-up'!$C$6</f>
        <v>LAFARGE-MARBLEHEAD "OSBORNE-CLEVELAND"</v>
      </c>
      <c r="X107" s="131" t="str">
        <f>+Plant_Information!$B$10</f>
        <v>04105-28</v>
      </c>
      <c r="Y107" s="131" t="str">
        <f>+Plant_Information!$B$11</f>
        <v>2100 CENTRAL FURNACE ROAD</v>
      </c>
      <c r="Z107" s="131" t="str">
        <f>+Plant_Information!$B$12</f>
        <v>CLEVELAND, OH, 44115</v>
      </c>
      <c r="AA107" s="131" t="str">
        <f>+Plant_Information!$B$13</f>
        <v>12</v>
      </c>
      <c r="AB107" s="131" t="str">
        <f>+Plant_Information!$B$14</f>
        <v>CUY</v>
      </c>
      <c r="AC107" s="70"/>
    </row>
    <row r="108" spans="2:29" x14ac:dyDescent="0.2">
      <c r="B108" t="str">
        <f>+'Aggregate, Plant Pick-up'!$C$5</f>
        <v>Complete on PLANT INFORMATION TAB</v>
      </c>
      <c r="C108" t="str">
        <f>+'Aggregate, Plant Pick-up'!$C$6</f>
        <v>LAFARGE-MARBLEHEAD "OSBORNE-CLEVELAND"</v>
      </c>
      <c r="D108" t="str">
        <f>+Plant_Information!$B$10</f>
        <v>04105-28</v>
      </c>
      <c r="E108" t="str">
        <f>+Plant_Information!$B$11</f>
        <v>2100 CENTRAL FURNACE ROAD</v>
      </c>
      <c r="F108" t="str">
        <f>+Plant_Information!$B$12</f>
        <v>CLEVELAND, OH, 44115</v>
      </c>
      <c r="G108" t="str">
        <f>+Plant_Information!$B$13</f>
        <v>12</v>
      </c>
      <c r="H108" s="75" t="str">
        <f>+Plant_Information!$B$14</f>
        <v>CUY</v>
      </c>
      <c r="I108" t="str">
        <f>+'Aggregate, Plant Pick-up'!J$7</f>
        <v>Gravel</v>
      </c>
      <c r="J108" t="str">
        <f>CONCATENATE('Aggregate, Plant Pick-up'!F21," ( ",'Aggregate, Plant Pick-up'!G21," )")</f>
        <v>No. 467 ( 703.02 )</v>
      </c>
      <c r="K108" s="70">
        <f>+'Aggregate, Plant Pick-up'!J21</f>
        <v>0</v>
      </c>
      <c r="Q108" t="str">
        <f>Plant_Information!$B$6</f>
        <v>(INSERT VENDOR NAME HERE)</v>
      </c>
      <c r="R108" t="str">
        <f>'HAULING RATES- ODOT Locations'!$A$124</f>
        <v>District 7</v>
      </c>
      <c r="S108" t="str">
        <f>'HAULING RATES- ODOT Locations'!A131</f>
        <v>Champaign</v>
      </c>
      <c r="T108" t="str">
        <f>'HAULING RATES- ODOT Locations'!B131</f>
        <v>Mechanicsburg OP,1544 State Route 559, Woodstock, OH 43084</v>
      </c>
      <c r="U108" t="str">
        <f>'HAULING RATES- ODOT Locations'!C$8</f>
        <v>Stone</v>
      </c>
      <c r="V108" s="146">
        <f>'HAULING RATES- ODOT Locations'!C131</f>
        <v>0</v>
      </c>
      <c r="W108" s="131" t="str">
        <f>+'Aggregate, Plant Pick-up'!$C$6</f>
        <v>LAFARGE-MARBLEHEAD "OSBORNE-CLEVELAND"</v>
      </c>
      <c r="X108" s="131" t="str">
        <f>+Plant_Information!$B$10</f>
        <v>04105-28</v>
      </c>
      <c r="Y108" s="131" t="str">
        <f>+Plant_Information!$B$11</f>
        <v>2100 CENTRAL FURNACE ROAD</v>
      </c>
      <c r="Z108" s="131" t="str">
        <f>+Plant_Information!$B$12</f>
        <v>CLEVELAND, OH, 44115</v>
      </c>
      <c r="AA108" s="131" t="str">
        <f>+Plant_Information!$B$13</f>
        <v>12</v>
      </c>
      <c r="AB108" s="131" t="str">
        <f>+Plant_Information!$B$14</f>
        <v>CUY</v>
      </c>
      <c r="AC108" s="70"/>
    </row>
    <row r="109" spans="2:29" x14ac:dyDescent="0.2">
      <c r="B109" t="str">
        <f>+'Aggregate, Plant Pick-up'!$C$5</f>
        <v>Complete on PLANT INFORMATION TAB</v>
      </c>
      <c r="C109" t="str">
        <f>+'Aggregate, Plant Pick-up'!$C$6</f>
        <v>LAFARGE-MARBLEHEAD "OSBORNE-CLEVELAND"</v>
      </c>
      <c r="D109" t="str">
        <f>+Plant_Information!$B$10</f>
        <v>04105-28</v>
      </c>
      <c r="E109" t="str">
        <f>+Plant_Information!$B$11</f>
        <v>2100 CENTRAL FURNACE ROAD</v>
      </c>
      <c r="F109" t="str">
        <f>+Plant_Information!$B$12</f>
        <v>CLEVELAND, OH, 44115</v>
      </c>
      <c r="G109" t="str">
        <f>+Plant_Information!$B$13</f>
        <v>12</v>
      </c>
      <c r="H109" s="75" t="str">
        <f>+Plant_Information!$B$14</f>
        <v>CUY</v>
      </c>
      <c r="I109" t="str">
        <f>+'Aggregate, Plant Pick-up'!J$7</f>
        <v>Gravel</v>
      </c>
      <c r="J109" t="str">
        <f>CONCATENATE('Aggregate, Plant Pick-up'!F21," ( ",'Aggregate, Plant Pick-up'!G22," )")</f>
        <v>No. 467 ( 703.04 )</v>
      </c>
      <c r="K109" s="70">
        <f>+'Aggregate, Plant Pick-up'!J22</f>
        <v>0</v>
      </c>
      <c r="Q109" t="str">
        <f>Plant_Information!$B$6</f>
        <v>(INSERT VENDOR NAME HERE)</v>
      </c>
      <c r="R109" t="str">
        <f>'HAULING RATES- ODOT Locations'!$A$124</f>
        <v>District 7</v>
      </c>
      <c r="S109" t="str">
        <f>'HAULING RATES- ODOT Locations'!A132</f>
        <v>Clark</v>
      </c>
      <c r="T109" t="str">
        <f>'HAULING RATES- ODOT Locations'!B132</f>
        <v>2310 Enon Road, Enon, OH 45323</v>
      </c>
      <c r="U109" t="str">
        <f>'HAULING RATES- ODOT Locations'!C$8</f>
        <v>Stone</v>
      </c>
      <c r="V109" s="146">
        <f>'HAULING RATES- ODOT Locations'!C132</f>
        <v>0</v>
      </c>
      <c r="W109" s="131" t="str">
        <f>+'Aggregate, Plant Pick-up'!$C$6</f>
        <v>LAFARGE-MARBLEHEAD "OSBORNE-CLEVELAND"</v>
      </c>
      <c r="X109" s="131" t="str">
        <f>+Plant_Information!$B$10</f>
        <v>04105-28</v>
      </c>
      <c r="Y109" s="131" t="str">
        <f>+Plant_Information!$B$11</f>
        <v>2100 CENTRAL FURNACE ROAD</v>
      </c>
      <c r="Z109" s="131" t="str">
        <f>+Plant_Information!$B$12</f>
        <v>CLEVELAND, OH, 44115</v>
      </c>
      <c r="AA109" s="131" t="str">
        <f>+Plant_Information!$B$13</f>
        <v>12</v>
      </c>
      <c r="AB109" s="131" t="str">
        <f>+Plant_Information!$B$14</f>
        <v>CUY</v>
      </c>
      <c r="AC109" s="70"/>
    </row>
    <row r="110" spans="2:29" x14ac:dyDescent="0.2">
      <c r="B110" t="str">
        <f>+'Aggregate, Plant Pick-up'!$C$5</f>
        <v>Complete on PLANT INFORMATION TAB</v>
      </c>
      <c r="C110" t="str">
        <f>+'Aggregate, Plant Pick-up'!$C$6</f>
        <v>LAFARGE-MARBLEHEAD "OSBORNE-CLEVELAND"</v>
      </c>
      <c r="D110" t="str">
        <f>+Plant_Information!$B$10</f>
        <v>04105-28</v>
      </c>
      <c r="E110" t="str">
        <f>+Plant_Information!$B$11</f>
        <v>2100 CENTRAL FURNACE ROAD</v>
      </c>
      <c r="F110" t="str">
        <f>+Plant_Information!$B$12</f>
        <v>CLEVELAND, OH, 44115</v>
      </c>
      <c r="G110" t="str">
        <f>+Plant_Information!$B$13</f>
        <v>12</v>
      </c>
      <c r="H110" s="75" t="str">
        <f>+Plant_Information!$B$14</f>
        <v>CUY</v>
      </c>
      <c r="I110" t="str">
        <f>+'Aggregate, Plant Pick-up'!J$7</f>
        <v>Gravel</v>
      </c>
      <c r="J110" t="str">
        <f>CONCATENATE('Aggregate, Plant Pick-up'!F21," ( ",'Aggregate, Plant Pick-up'!G23," )")</f>
        <v>No. 467 ( 703.05 )</v>
      </c>
      <c r="K110" s="70">
        <f>+'Aggregate, Plant Pick-up'!J23</f>
        <v>0</v>
      </c>
      <c r="Q110" t="str">
        <f>Plant_Information!$B$6</f>
        <v>(INSERT VENDOR NAME HERE)</v>
      </c>
      <c r="R110" t="str">
        <f>'HAULING RATES- ODOT Locations'!$A$124</f>
        <v>District 7</v>
      </c>
      <c r="S110" t="str">
        <f>'HAULING RATES- ODOT Locations'!A133</f>
        <v>Clark</v>
      </c>
      <c r="T110" t="str">
        <f>'HAULING RATES- ODOT Locations'!B133</f>
        <v>7875 E. National Rd. South Charleston, OH 45368</v>
      </c>
      <c r="U110" t="str">
        <f>'HAULING RATES- ODOT Locations'!C$8</f>
        <v>Stone</v>
      </c>
      <c r="V110" s="146">
        <f>'HAULING RATES- ODOT Locations'!C133</f>
        <v>0</v>
      </c>
      <c r="W110" s="131" t="str">
        <f>+'Aggregate, Plant Pick-up'!$C$6</f>
        <v>LAFARGE-MARBLEHEAD "OSBORNE-CLEVELAND"</v>
      </c>
      <c r="X110" s="131" t="str">
        <f>+Plant_Information!$B$10</f>
        <v>04105-28</v>
      </c>
      <c r="Y110" s="131" t="str">
        <f>+Plant_Information!$B$11</f>
        <v>2100 CENTRAL FURNACE ROAD</v>
      </c>
      <c r="Z110" s="131" t="str">
        <f>+Plant_Information!$B$12</f>
        <v>CLEVELAND, OH, 44115</v>
      </c>
      <c r="AA110" s="131" t="str">
        <f>+Plant_Information!$B$13</f>
        <v>12</v>
      </c>
      <c r="AB110" s="131" t="str">
        <f>+Plant_Information!$B$14</f>
        <v>CUY</v>
      </c>
      <c r="AC110" s="70"/>
    </row>
    <row r="111" spans="2:29" x14ac:dyDescent="0.2">
      <c r="B111" t="str">
        <f>+'Aggregate, Plant Pick-up'!$C$5</f>
        <v>Complete on PLANT INFORMATION TAB</v>
      </c>
      <c r="C111" t="str">
        <f>+'Aggregate, Plant Pick-up'!$C$6</f>
        <v>LAFARGE-MARBLEHEAD "OSBORNE-CLEVELAND"</v>
      </c>
      <c r="D111" t="str">
        <f>+Plant_Information!$B$10</f>
        <v>04105-28</v>
      </c>
      <c r="E111" t="str">
        <f>+Plant_Information!$B$11</f>
        <v>2100 CENTRAL FURNACE ROAD</v>
      </c>
      <c r="F111" t="str">
        <f>+Plant_Information!$B$12</f>
        <v>CLEVELAND, OH, 44115</v>
      </c>
      <c r="G111" t="str">
        <f>+Plant_Information!$B$13</f>
        <v>12</v>
      </c>
      <c r="H111" s="75" t="str">
        <f>+Plant_Information!$B$14</f>
        <v>CUY</v>
      </c>
      <c r="I111" t="str">
        <f>+'Aggregate, Plant Pick-up'!J$7</f>
        <v>Gravel</v>
      </c>
      <c r="J111" t="str">
        <f>CONCATENATE('Aggregate, Plant Pick-up'!F24," ( ",'Aggregate, Plant Pick-up'!G24," )")</f>
        <v>No. 57 ( 703.02 )</v>
      </c>
      <c r="K111" s="70">
        <f>+'Aggregate, Plant Pick-up'!J24</f>
        <v>0</v>
      </c>
      <c r="Q111" t="str">
        <f>Plant_Information!$B$6</f>
        <v>(INSERT VENDOR NAME HERE)</v>
      </c>
      <c r="R111" t="str">
        <f>'HAULING RATES- ODOT Locations'!$A$124</f>
        <v>District 7</v>
      </c>
      <c r="S111" t="str">
        <f>'HAULING RATES- ODOT Locations'!A134</f>
        <v>Clark</v>
      </c>
      <c r="T111" t="str">
        <f>'HAULING RATES- ODOT Locations'!B134</f>
        <v>1630 W. First Street, Springfield, OH 45504</v>
      </c>
      <c r="U111" t="str">
        <f>'HAULING RATES- ODOT Locations'!C$8</f>
        <v>Stone</v>
      </c>
      <c r="V111" s="146">
        <f>'HAULING RATES- ODOT Locations'!C134</f>
        <v>0</v>
      </c>
      <c r="W111" s="131" t="str">
        <f>+'Aggregate, Plant Pick-up'!$C$6</f>
        <v>LAFARGE-MARBLEHEAD "OSBORNE-CLEVELAND"</v>
      </c>
      <c r="X111" s="131" t="str">
        <f>+Plant_Information!$B$10</f>
        <v>04105-28</v>
      </c>
      <c r="Y111" s="131" t="str">
        <f>+Plant_Information!$B$11</f>
        <v>2100 CENTRAL FURNACE ROAD</v>
      </c>
      <c r="Z111" s="131" t="str">
        <f>+Plant_Information!$B$12</f>
        <v>CLEVELAND, OH, 44115</v>
      </c>
      <c r="AA111" s="131" t="str">
        <f>+Plant_Information!$B$13</f>
        <v>12</v>
      </c>
      <c r="AB111" s="131" t="str">
        <f>+Plant_Information!$B$14</f>
        <v>CUY</v>
      </c>
      <c r="AC111" s="70"/>
    </row>
    <row r="112" spans="2:29" x14ac:dyDescent="0.2">
      <c r="B112" t="str">
        <f>+'Aggregate, Plant Pick-up'!$C$5</f>
        <v>Complete on PLANT INFORMATION TAB</v>
      </c>
      <c r="C112" t="str">
        <f>+'Aggregate, Plant Pick-up'!$C$6</f>
        <v>LAFARGE-MARBLEHEAD "OSBORNE-CLEVELAND"</v>
      </c>
      <c r="D112" t="str">
        <f>+Plant_Information!$B$10</f>
        <v>04105-28</v>
      </c>
      <c r="E112" t="str">
        <f>+Plant_Information!$B$11</f>
        <v>2100 CENTRAL FURNACE ROAD</v>
      </c>
      <c r="F112" t="str">
        <f>+Plant_Information!$B$12</f>
        <v>CLEVELAND, OH, 44115</v>
      </c>
      <c r="G112" t="str">
        <f>+Plant_Information!$B$13</f>
        <v>12</v>
      </c>
      <c r="H112" s="75" t="str">
        <f>+Plant_Information!$B$14</f>
        <v>CUY</v>
      </c>
      <c r="I112" t="str">
        <f>+'Aggregate, Plant Pick-up'!J$7</f>
        <v>Gravel</v>
      </c>
      <c r="J112" t="str">
        <f>CONCATENATE('Aggregate, Plant Pick-up'!F24," ( ",'Aggregate, Plant Pick-up'!G25," )")</f>
        <v>No. 57 ( 703.04 )</v>
      </c>
      <c r="K112" s="70">
        <f>+'Aggregate, Plant Pick-up'!J25</f>
        <v>0</v>
      </c>
      <c r="Q112" t="str">
        <f>Plant_Information!$B$6</f>
        <v>(INSERT VENDOR NAME HERE)</v>
      </c>
      <c r="R112" t="str">
        <f>'HAULING RATES- ODOT Locations'!$A$124</f>
        <v>District 7</v>
      </c>
      <c r="S112" t="str">
        <f>'HAULING RATES- ODOT Locations'!A135</f>
        <v>Darke</v>
      </c>
      <c r="T112" t="str">
        <f>'HAULING RATES- ODOT Locations'!B135</f>
        <v>5230 Industrial Way, Greenville, OH 45331</v>
      </c>
      <c r="U112" t="str">
        <f>'HAULING RATES- ODOT Locations'!C$8</f>
        <v>Stone</v>
      </c>
      <c r="V112" s="146">
        <f>'HAULING RATES- ODOT Locations'!C135</f>
        <v>0</v>
      </c>
      <c r="W112" s="131" t="str">
        <f>+'Aggregate, Plant Pick-up'!$C$6</f>
        <v>LAFARGE-MARBLEHEAD "OSBORNE-CLEVELAND"</v>
      </c>
      <c r="X112" s="131" t="str">
        <f>+Plant_Information!$B$10</f>
        <v>04105-28</v>
      </c>
      <c r="Y112" s="131" t="str">
        <f>+Plant_Information!$B$11</f>
        <v>2100 CENTRAL FURNACE ROAD</v>
      </c>
      <c r="Z112" s="131" t="str">
        <f>+Plant_Information!$B$12</f>
        <v>CLEVELAND, OH, 44115</v>
      </c>
      <c r="AA112" s="131" t="str">
        <f>+Plant_Information!$B$13</f>
        <v>12</v>
      </c>
      <c r="AB112" s="131" t="str">
        <f>+Plant_Information!$B$14</f>
        <v>CUY</v>
      </c>
      <c r="AC112" s="70"/>
    </row>
    <row r="113" spans="2:29" x14ac:dyDescent="0.2">
      <c r="B113" t="str">
        <f>+'Aggregate, Plant Pick-up'!$C$5</f>
        <v>Complete on PLANT INFORMATION TAB</v>
      </c>
      <c r="C113" t="str">
        <f>+'Aggregate, Plant Pick-up'!$C$6</f>
        <v>LAFARGE-MARBLEHEAD "OSBORNE-CLEVELAND"</v>
      </c>
      <c r="D113" t="str">
        <f>+Plant_Information!$B$10</f>
        <v>04105-28</v>
      </c>
      <c r="E113" t="str">
        <f>+Plant_Information!$B$11</f>
        <v>2100 CENTRAL FURNACE ROAD</v>
      </c>
      <c r="F113" t="str">
        <f>+Plant_Information!$B$12</f>
        <v>CLEVELAND, OH, 44115</v>
      </c>
      <c r="G113" t="str">
        <f>+Plant_Information!$B$13</f>
        <v>12</v>
      </c>
      <c r="H113" s="75" t="str">
        <f>+Plant_Information!$B$14</f>
        <v>CUY</v>
      </c>
      <c r="I113" t="str">
        <f>+'Aggregate, Plant Pick-up'!J$7</f>
        <v>Gravel</v>
      </c>
      <c r="J113" t="str">
        <f>CONCATENATE('Aggregate, Plant Pick-up'!F24," ( ",'Aggregate, Plant Pick-up'!G26," )")</f>
        <v>No. 57 ( 703.05 )</v>
      </c>
      <c r="K113" s="70">
        <f>+'Aggregate, Plant Pick-up'!J26</f>
        <v>0</v>
      </c>
      <c r="Q113" t="str">
        <f>Plant_Information!$B$6</f>
        <v>(INSERT VENDOR NAME HERE)</v>
      </c>
      <c r="R113" t="str">
        <f>'HAULING RATES- ODOT Locations'!$A$124</f>
        <v>District 7</v>
      </c>
      <c r="S113" t="str">
        <f>'HAULING RATES- ODOT Locations'!A136</f>
        <v>Darke</v>
      </c>
      <c r="T113" t="str">
        <f>'HAULING RATES- ODOT Locations'!B136</f>
        <v>10382 Greenville - St Marys, Versailles, OH 45380</v>
      </c>
      <c r="U113" t="str">
        <f>'HAULING RATES- ODOT Locations'!C$8</f>
        <v>Stone</v>
      </c>
      <c r="V113" s="146">
        <f>'HAULING RATES- ODOT Locations'!C136</f>
        <v>0</v>
      </c>
      <c r="W113" s="131" t="str">
        <f>+'Aggregate, Plant Pick-up'!$C$6</f>
        <v>LAFARGE-MARBLEHEAD "OSBORNE-CLEVELAND"</v>
      </c>
      <c r="X113" s="131" t="str">
        <f>+Plant_Information!$B$10</f>
        <v>04105-28</v>
      </c>
      <c r="Y113" s="131" t="str">
        <f>+Plant_Information!$B$11</f>
        <v>2100 CENTRAL FURNACE ROAD</v>
      </c>
      <c r="Z113" s="131" t="str">
        <f>+Plant_Information!$B$12</f>
        <v>CLEVELAND, OH, 44115</v>
      </c>
      <c r="AA113" s="131" t="str">
        <f>+Plant_Information!$B$13</f>
        <v>12</v>
      </c>
      <c r="AB113" s="131" t="str">
        <f>+Plant_Information!$B$14</f>
        <v>CUY</v>
      </c>
      <c r="AC113" s="70"/>
    </row>
    <row r="114" spans="2:29" x14ac:dyDescent="0.2">
      <c r="B114" t="str">
        <f>+'Aggregate, Plant Pick-up'!$C$5</f>
        <v>Complete on PLANT INFORMATION TAB</v>
      </c>
      <c r="C114" t="str">
        <f>+'Aggregate, Plant Pick-up'!$C$6</f>
        <v>LAFARGE-MARBLEHEAD "OSBORNE-CLEVELAND"</v>
      </c>
      <c r="D114" t="str">
        <f>+Plant_Information!$B$10</f>
        <v>04105-28</v>
      </c>
      <c r="E114" t="str">
        <f>+Plant_Information!$B$11</f>
        <v>2100 CENTRAL FURNACE ROAD</v>
      </c>
      <c r="F114" t="str">
        <f>+Plant_Information!$B$12</f>
        <v>CLEVELAND, OH, 44115</v>
      </c>
      <c r="G114" t="str">
        <f>+Plant_Information!$B$13</f>
        <v>12</v>
      </c>
      <c r="H114" s="75" t="str">
        <f>+Plant_Information!$B$14</f>
        <v>CUY</v>
      </c>
      <c r="I114" t="str">
        <f>+'Aggregate, Plant Pick-up'!J$7</f>
        <v>Gravel</v>
      </c>
      <c r="J114" t="str">
        <f>CONCATENATE('Aggregate, Plant Pick-up'!F27," ( ",'Aggregate, Plant Pick-up'!G27," )")</f>
        <v>No. 6 ( 703.02 )</v>
      </c>
      <c r="K114" s="70">
        <f>+'Aggregate, Plant Pick-up'!J27</f>
        <v>0</v>
      </c>
      <c r="Q114" t="str">
        <f>Plant_Information!$B$6</f>
        <v>(INSERT VENDOR NAME HERE)</v>
      </c>
      <c r="R114" t="str">
        <f>'HAULING RATES- ODOT Locations'!$A$124</f>
        <v>District 7</v>
      </c>
      <c r="S114" t="str">
        <f>'HAULING RATES- ODOT Locations'!A137</f>
        <v>Logan</v>
      </c>
      <c r="T114" t="str">
        <f>'HAULING RATES- ODOT Locations'!B137</f>
        <v>9254 State Route 235 North, Lakeview, OH 43331</v>
      </c>
      <c r="U114" t="str">
        <f>'HAULING RATES- ODOT Locations'!C$8</f>
        <v>Stone</v>
      </c>
      <c r="V114" s="146">
        <f>'HAULING RATES- ODOT Locations'!C137</f>
        <v>0</v>
      </c>
      <c r="W114" s="131" t="str">
        <f>+'Aggregate, Plant Pick-up'!$C$6</f>
        <v>LAFARGE-MARBLEHEAD "OSBORNE-CLEVELAND"</v>
      </c>
      <c r="X114" s="131" t="str">
        <f>+Plant_Information!$B$10</f>
        <v>04105-28</v>
      </c>
      <c r="Y114" s="131" t="str">
        <f>+Plant_Information!$B$11</f>
        <v>2100 CENTRAL FURNACE ROAD</v>
      </c>
      <c r="Z114" s="131" t="str">
        <f>+Plant_Information!$B$12</f>
        <v>CLEVELAND, OH, 44115</v>
      </c>
      <c r="AA114" s="131" t="str">
        <f>+Plant_Information!$B$13</f>
        <v>12</v>
      </c>
      <c r="AB114" s="131" t="str">
        <f>+Plant_Information!$B$14</f>
        <v>CUY</v>
      </c>
      <c r="AC114" s="70"/>
    </row>
    <row r="115" spans="2:29" x14ac:dyDescent="0.2">
      <c r="B115" t="str">
        <f>+'Aggregate, Plant Pick-up'!$C$5</f>
        <v>Complete on PLANT INFORMATION TAB</v>
      </c>
      <c r="C115" t="str">
        <f>+'Aggregate, Plant Pick-up'!$C$6</f>
        <v>LAFARGE-MARBLEHEAD "OSBORNE-CLEVELAND"</v>
      </c>
      <c r="D115" t="str">
        <f>+Plant_Information!$B$10</f>
        <v>04105-28</v>
      </c>
      <c r="E115" t="str">
        <f>+Plant_Information!$B$11</f>
        <v>2100 CENTRAL FURNACE ROAD</v>
      </c>
      <c r="F115" t="str">
        <f>+Plant_Information!$B$12</f>
        <v>CLEVELAND, OH, 44115</v>
      </c>
      <c r="G115" t="str">
        <f>+Plant_Information!$B$13</f>
        <v>12</v>
      </c>
      <c r="H115" s="75" t="str">
        <f>+Plant_Information!$B$14</f>
        <v>CUY</v>
      </c>
      <c r="I115" t="str">
        <f>+'Aggregate, Plant Pick-up'!J$7</f>
        <v>Gravel</v>
      </c>
      <c r="J115" t="str">
        <f>CONCATENATE('Aggregate, Plant Pick-up'!F27," ( ",'Aggregate, Plant Pick-up'!G28," )")</f>
        <v>No. 6 ( 703.04 )</v>
      </c>
      <c r="K115" s="70">
        <f>+'Aggregate, Plant Pick-up'!J28</f>
        <v>0</v>
      </c>
      <c r="Q115" t="str">
        <f>Plant_Information!$B$6</f>
        <v>(INSERT VENDOR NAME HERE)</v>
      </c>
      <c r="R115" t="str">
        <f>'HAULING RATES- ODOT Locations'!$A$124</f>
        <v>District 7</v>
      </c>
      <c r="S115" t="str">
        <f>'HAULING RATES- ODOT Locations'!A138</f>
        <v>Logan</v>
      </c>
      <c r="T115" t="str">
        <f>'HAULING RATES- ODOT Locations'!B138</f>
        <v>E. Liberty OP, 4315 State Route 292, Zanesfield, OH 43319</v>
      </c>
      <c r="U115" t="str">
        <f>'HAULING RATES- ODOT Locations'!C$8</f>
        <v>Stone</v>
      </c>
      <c r="V115" s="146">
        <f>'HAULING RATES- ODOT Locations'!C138</f>
        <v>0</v>
      </c>
      <c r="W115" s="131" t="str">
        <f>+'Aggregate, Plant Pick-up'!$C$6</f>
        <v>LAFARGE-MARBLEHEAD "OSBORNE-CLEVELAND"</v>
      </c>
      <c r="X115" s="131" t="str">
        <f>+Plant_Information!$B$10</f>
        <v>04105-28</v>
      </c>
      <c r="Y115" s="131" t="str">
        <f>+Plant_Information!$B$11</f>
        <v>2100 CENTRAL FURNACE ROAD</v>
      </c>
      <c r="Z115" s="131" t="str">
        <f>+Plant_Information!$B$12</f>
        <v>CLEVELAND, OH, 44115</v>
      </c>
      <c r="AA115" s="131" t="str">
        <f>+Plant_Information!$B$13</f>
        <v>12</v>
      </c>
      <c r="AB115" s="131" t="str">
        <f>+Plant_Information!$B$14</f>
        <v>CUY</v>
      </c>
      <c r="AC115" s="70"/>
    </row>
    <row r="116" spans="2:29" x14ac:dyDescent="0.2">
      <c r="B116" t="str">
        <f>+'Aggregate, Plant Pick-up'!$C$5</f>
        <v>Complete on PLANT INFORMATION TAB</v>
      </c>
      <c r="C116" t="str">
        <f>+'Aggregate, Plant Pick-up'!$C$6</f>
        <v>LAFARGE-MARBLEHEAD "OSBORNE-CLEVELAND"</v>
      </c>
      <c r="D116" t="str">
        <f>+Plant_Information!$B$10</f>
        <v>04105-28</v>
      </c>
      <c r="E116" t="str">
        <f>+Plant_Information!$B$11</f>
        <v>2100 CENTRAL FURNACE ROAD</v>
      </c>
      <c r="F116" t="str">
        <f>+Plant_Information!$B$12</f>
        <v>CLEVELAND, OH, 44115</v>
      </c>
      <c r="G116" t="str">
        <f>+Plant_Information!$B$13</f>
        <v>12</v>
      </c>
      <c r="H116" s="75" t="str">
        <f>+Plant_Information!$B$14</f>
        <v>CUY</v>
      </c>
      <c r="I116" t="str">
        <f>+'Aggregate, Plant Pick-up'!J$7</f>
        <v>Gravel</v>
      </c>
      <c r="J116" t="str">
        <f>CONCATENATE('Aggregate, Plant Pick-up'!F27," ( ",'Aggregate, Plant Pick-up'!G29," )")</f>
        <v>No. 6 ( 703.05 )</v>
      </c>
      <c r="K116" s="70">
        <f>+'Aggregate, Plant Pick-up'!J29</f>
        <v>0</v>
      </c>
      <c r="Q116" t="str">
        <f>Plant_Information!$B$6</f>
        <v>(INSERT VENDOR NAME HERE)</v>
      </c>
      <c r="R116" t="str">
        <f>'HAULING RATES- ODOT Locations'!$A$124</f>
        <v>District 7</v>
      </c>
      <c r="S116" t="str">
        <f>'HAULING RATES- ODOT Locations'!A139</f>
        <v>Logan</v>
      </c>
      <c r="T116" t="str">
        <f>'HAULING RATES- ODOT Locations'!B139</f>
        <v>149 Northview Drive, Bellefontaine, OH 43311</v>
      </c>
      <c r="U116" t="str">
        <f>'HAULING RATES- ODOT Locations'!C$8</f>
        <v>Stone</v>
      </c>
      <c r="V116" s="146">
        <f>'HAULING RATES- ODOT Locations'!C139</f>
        <v>0</v>
      </c>
      <c r="W116" s="131" t="str">
        <f>+'Aggregate, Plant Pick-up'!$C$6</f>
        <v>LAFARGE-MARBLEHEAD "OSBORNE-CLEVELAND"</v>
      </c>
      <c r="X116" s="131" t="str">
        <f>+Plant_Information!$B$10</f>
        <v>04105-28</v>
      </c>
      <c r="Y116" s="131" t="str">
        <f>+Plant_Information!$B$11</f>
        <v>2100 CENTRAL FURNACE ROAD</v>
      </c>
      <c r="Z116" s="131" t="str">
        <f>+Plant_Information!$B$12</f>
        <v>CLEVELAND, OH, 44115</v>
      </c>
      <c r="AA116" s="131" t="str">
        <f>+Plant_Information!$B$13</f>
        <v>12</v>
      </c>
      <c r="AB116" s="131" t="str">
        <f>+Plant_Information!$B$14</f>
        <v>CUY</v>
      </c>
      <c r="AC116" s="70"/>
    </row>
    <row r="117" spans="2:29" x14ac:dyDescent="0.2">
      <c r="B117" t="str">
        <f>+'Aggregate, Plant Pick-up'!$C$5</f>
        <v>Complete on PLANT INFORMATION TAB</v>
      </c>
      <c r="C117" t="str">
        <f>+'Aggregate, Plant Pick-up'!$C$6</f>
        <v>LAFARGE-MARBLEHEAD "OSBORNE-CLEVELAND"</v>
      </c>
      <c r="D117" t="str">
        <f>+Plant_Information!$B$10</f>
        <v>04105-28</v>
      </c>
      <c r="E117" t="str">
        <f>+Plant_Information!$B$11</f>
        <v>2100 CENTRAL FURNACE ROAD</v>
      </c>
      <c r="F117" t="str">
        <f>+Plant_Information!$B$12</f>
        <v>CLEVELAND, OH, 44115</v>
      </c>
      <c r="G117" t="str">
        <f>+Plant_Information!$B$13</f>
        <v>12</v>
      </c>
      <c r="H117" s="75" t="str">
        <f>+Plant_Information!$B$14</f>
        <v>CUY</v>
      </c>
      <c r="I117" t="str">
        <f>+'Aggregate, Plant Pick-up'!J$7</f>
        <v>Gravel</v>
      </c>
      <c r="J117" t="str">
        <f>CONCATENATE('Aggregate, Plant Pick-up'!F30," ( ",'Aggregate, Plant Pick-up'!G30," )")</f>
        <v>No. 67 ( 703.02 )</v>
      </c>
      <c r="K117" s="70">
        <f>+'Aggregate, Plant Pick-up'!J30</f>
        <v>0</v>
      </c>
      <c r="Q117" t="str">
        <f>Plant_Information!$B$6</f>
        <v>(INSERT VENDOR NAME HERE)</v>
      </c>
      <c r="R117" t="str">
        <f>'HAULING RATES- ODOT Locations'!$A$124</f>
        <v>District 7</v>
      </c>
      <c r="S117" t="str">
        <f>'HAULING RATES- ODOT Locations'!A140</f>
        <v>Mercer</v>
      </c>
      <c r="T117" t="str">
        <f>'HAULING RATES- ODOT Locations'!B140</f>
        <v>4444 State Route 29 West, Celina, OH 45822</v>
      </c>
      <c r="U117" t="str">
        <f>'HAULING RATES- ODOT Locations'!C$8</f>
        <v>Stone</v>
      </c>
      <c r="V117" s="146">
        <f>'HAULING RATES- ODOT Locations'!C140</f>
        <v>0</v>
      </c>
      <c r="W117" s="131" t="str">
        <f>+'Aggregate, Plant Pick-up'!$C$6</f>
        <v>LAFARGE-MARBLEHEAD "OSBORNE-CLEVELAND"</v>
      </c>
      <c r="X117" s="131" t="str">
        <f>+Plant_Information!$B$10</f>
        <v>04105-28</v>
      </c>
      <c r="Y117" s="131" t="str">
        <f>+Plant_Information!$B$11</f>
        <v>2100 CENTRAL FURNACE ROAD</v>
      </c>
      <c r="Z117" s="131" t="str">
        <f>+Plant_Information!$B$12</f>
        <v>CLEVELAND, OH, 44115</v>
      </c>
      <c r="AA117" s="131" t="str">
        <f>+Plant_Information!$B$13</f>
        <v>12</v>
      </c>
      <c r="AB117" s="131" t="str">
        <f>+Plant_Information!$B$14</f>
        <v>CUY</v>
      </c>
      <c r="AC117" s="70"/>
    </row>
    <row r="118" spans="2:29" x14ac:dyDescent="0.2">
      <c r="B118" t="str">
        <f>+'Aggregate, Plant Pick-up'!$C$5</f>
        <v>Complete on PLANT INFORMATION TAB</v>
      </c>
      <c r="C118" t="str">
        <f>+'Aggregate, Plant Pick-up'!$C$6</f>
        <v>LAFARGE-MARBLEHEAD "OSBORNE-CLEVELAND"</v>
      </c>
      <c r="D118" t="str">
        <f>+Plant_Information!$B$10</f>
        <v>04105-28</v>
      </c>
      <c r="E118" t="str">
        <f>+Plant_Information!$B$11</f>
        <v>2100 CENTRAL FURNACE ROAD</v>
      </c>
      <c r="F118" t="str">
        <f>+Plant_Information!$B$12</f>
        <v>CLEVELAND, OH, 44115</v>
      </c>
      <c r="G118" t="str">
        <f>+Plant_Information!$B$13</f>
        <v>12</v>
      </c>
      <c r="H118" s="75" t="str">
        <f>+Plant_Information!$B$14</f>
        <v>CUY</v>
      </c>
      <c r="I118" t="str">
        <f>+'Aggregate, Plant Pick-up'!J$7</f>
        <v>Gravel</v>
      </c>
      <c r="J118" t="str">
        <f>CONCATENATE('Aggregate, Plant Pick-up'!F30," ( ",'Aggregate, Plant Pick-up'!G31," )")</f>
        <v>No. 67 ( 703.04 )</v>
      </c>
      <c r="K118" s="70">
        <f>+'Aggregate, Plant Pick-up'!J31</f>
        <v>0</v>
      </c>
      <c r="Q118" t="str">
        <f>Plant_Information!$B$6</f>
        <v>(INSERT VENDOR NAME HERE)</v>
      </c>
      <c r="R118" t="str">
        <f>'HAULING RATES- ODOT Locations'!$A$124</f>
        <v>District 7</v>
      </c>
      <c r="S118" t="str">
        <f>'HAULING RATES- ODOT Locations'!A141</f>
        <v>Mercer</v>
      </c>
      <c r="T118" t="str">
        <f>'HAULING RATES- ODOT Locations'!B141</f>
        <v>Mercer OP, 5729 Mercer Road, Mendon, OH 45862</v>
      </c>
      <c r="U118" t="str">
        <f>'HAULING RATES- ODOT Locations'!C$8</f>
        <v>Stone</v>
      </c>
      <c r="V118" s="146">
        <f>'HAULING RATES- ODOT Locations'!C141</f>
        <v>0</v>
      </c>
      <c r="W118" s="131" t="str">
        <f>+'Aggregate, Plant Pick-up'!$C$6</f>
        <v>LAFARGE-MARBLEHEAD "OSBORNE-CLEVELAND"</v>
      </c>
      <c r="X118" s="131" t="str">
        <f>+Plant_Information!$B$10</f>
        <v>04105-28</v>
      </c>
      <c r="Y118" s="131" t="str">
        <f>+Plant_Information!$B$11</f>
        <v>2100 CENTRAL FURNACE ROAD</v>
      </c>
      <c r="Z118" s="131" t="str">
        <f>+Plant_Information!$B$12</f>
        <v>CLEVELAND, OH, 44115</v>
      </c>
      <c r="AA118" s="131" t="str">
        <f>+Plant_Information!$B$13</f>
        <v>12</v>
      </c>
      <c r="AB118" s="131" t="str">
        <f>+Plant_Information!$B$14</f>
        <v>CUY</v>
      </c>
      <c r="AC118" s="70"/>
    </row>
    <row r="119" spans="2:29" x14ac:dyDescent="0.2">
      <c r="B119" t="str">
        <f>+'Aggregate, Plant Pick-up'!$C$5</f>
        <v>Complete on PLANT INFORMATION TAB</v>
      </c>
      <c r="C119" t="str">
        <f>+'Aggregate, Plant Pick-up'!$C$6</f>
        <v>LAFARGE-MARBLEHEAD "OSBORNE-CLEVELAND"</v>
      </c>
      <c r="D119" t="str">
        <f>+Plant_Information!$B$10</f>
        <v>04105-28</v>
      </c>
      <c r="E119" t="str">
        <f>+Plant_Information!$B$11</f>
        <v>2100 CENTRAL FURNACE ROAD</v>
      </c>
      <c r="F119" t="str">
        <f>+Plant_Information!$B$12</f>
        <v>CLEVELAND, OH, 44115</v>
      </c>
      <c r="G119" t="str">
        <f>+Plant_Information!$B$13</f>
        <v>12</v>
      </c>
      <c r="H119" s="75" t="str">
        <f>+Plant_Information!$B$14</f>
        <v>CUY</v>
      </c>
      <c r="I119" t="str">
        <f>+'Aggregate, Plant Pick-up'!J$7</f>
        <v>Gravel</v>
      </c>
      <c r="J119" t="str">
        <f>CONCATENATE('Aggregate, Plant Pick-up'!F30," ( ",'Aggregate, Plant Pick-up'!G32," )")</f>
        <v>No. 67 ( 703.05 )</v>
      </c>
      <c r="K119" s="70">
        <f>+'Aggregate, Plant Pick-up'!J32</f>
        <v>0</v>
      </c>
      <c r="Q119" t="str">
        <f>Plant_Information!$B$6</f>
        <v>(INSERT VENDOR NAME HERE)</v>
      </c>
      <c r="R119" t="str">
        <f>'HAULING RATES- ODOT Locations'!$A$124</f>
        <v>District 7</v>
      </c>
      <c r="S119" t="str">
        <f>'HAULING RATES- ODOT Locations'!A142</f>
        <v>Mercer</v>
      </c>
      <c r="T119" t="str">
        <f>'HAULING RATES- ODOT Locations'!B142</f>
        <v>Cassella OP, 5882 State Route 119, St. Henry, OH 45883</v>
      </c>
      <c r="U119" t="str">
        <f>'HAULING RATES- ODOT Locations'!C$8</f>
        <v>Stone</v>
      </c>
      <c r="V119" s="146">
        <f>'HAULING RATES- ODOT Locations'!C142</f>
        <v>0</v>
      </c>
      <c r="W119" s="131" t="str">
        <f>+'Aggregate, Plant Pick-up'!$C$6</f>
        <v>LAFARGE-MARBLEHEAD "OSBORNE-CLEVELAND"</v>
      </c>
      <c r="X119" s="131" t="str">
        <f>+Plant_Information!$B$10</f>
        <v>04105-28</v>
      </c>
      <c r="Y119" s="131" t="str">
        <f>+Plant_Information!$B$11</f>
        <v>2100 CENTRAL FURNACE ROAD</v>
      </c>
      <c r="Z119" s="131" t="str">
        <f>+Plant_Information!$B$12</f>
        <v>CLEVELAND, OH, 44115</v>
      </c>
      <c r="AA119" s="131" t="str">
        <f>+Plant_Information!$B$13</f>
        <v>12</v>
      </c>
      <c r="AB119" s="131" t="str">
        <f>+Plant_Information!$B$14</f>
        <v>CUY</v>
      </c>
      <c r="AC119" s="70"/>
    </row>
    <row r="120" spans="2:29" x14ac:dyDescent="0.2">
      <c r="B120" t="str">
        <f>+'Aggregate, Plant Pick-up'!$C$5</f>
        <v>Complete on PLANT INFORMATION TAB</v>
      </c>
      <c r="C120" t="str">
        <f>+'Aggregate, Plant Pick-up'!$C$6</f>
        <v>LAFARGE-MARBLEHEAD "OSBORNE-CLEVELAND"</v>
      </c>
      <c r="D120" t="str">
        <f>+Plant_Information!$B$10</f>
        <v>04105-28</v>
      </c>
      <c r="E120" t="str">
        <f>+Plant_Information!$B$11</f>
        <v>2100 CENTRAL FURNACE ROAD</v>
      </c>
      <c r="F120" t="str">
        <f>+Plant_Information!$B$12</f>
        <v>CLEVELAND, OH, 44115</v>
      </c>
      <c r="G120" t="str">
        <f>+Plant_Information!$B$13</f>
        <v>12</v>
      </c>
      <c r="H120" s="75" t="str">
        <f>+Plant_Information!$B$14</f>
        <v>CUY</v>
      </c>
      <c r="I120" t="str">
        <f>+'Aggregate, Plant Pick-up'!J$7</f>
        <v>Gravel</v>
      </c>
      <c r="J120" t="str">
        <f>CONCATENATE('Aggregate, Plant Pick-up'!F30," ( ",'Aggregate, Plant Pick-up'!G33," )")</f>
        <v>No. 67 ( 422.02 )</v>
      </c>
      <c r="K120" s="70">
        <f>+'Aggregate, Plant Pick-up'!J33</f>
        <v>0</v>
      </c>
      <c r="Q120" t="str">
        <f>Plant_Information!$B$6</f>
        <v>(INSERT VENDOR NAME HERE)</v>
      </c>
      <c r="R120" t="str">
        <f>'HAULING RATES- ODOT Locations'!$A$124</f>
        <v>District 7</v>
      </c>
      <c r="S120" t="str">
        <f>'HAULING RATES- ODOT Locations'!A143</f>
        <v>Miami</v>
      </c>
      <c r="T120" t="str">
        <f>'HAULING RATES- ODOT Locations'!B143</f>
        <v>2423 W. State Route 55, Troy, OH 45373</v>
      </c>
      <c r="U120" t="str">
        <f>'HAULING RATES- ODOT Locations'!C$8</f>
        <v>Stone</v>
      </c>
      <c r="V120" s="146">
        <f>'HAULING RATES- ODOT Locations'!C143</f>
        <v>0</v>
      </c>
      <c r="W120" s="131" t="str">
        <f>+'Aggregate, Plant Pick-up'!$C$6</f>
        <v>LAFARGE-MARBLEHEAD "OSBORNE-CLEVELAND"</v>
      </c>
      <c r="X120" s="131" t="str">
        <f>+Plant_Information!$B$10</f>
        <v>04105-28</v>
      </c>
      <c r="Y120" s="131" t="str">
        <f>+Plant_Information!$B$11</f>
        <v>2100 CENTRAL FURNACE ROAD</v>
      </c>
      <c r="Z120" s="131" t="str">
        <f>+Plant_Information!$B$12</f>
        <v>CLEVELAND, OH, 44115</v>
      </c>
      <c r="AA120" s="131" t="str">
        <f>+Plant_Information!$B$13</f>
        <v>12</v>
      </c>
      <c r="AB120" s="131" t="str">
        <f>+Plant_Information!$B$14</f>
        <v>CUY</v>
      </c>
      <c r="AC120" s="70"/>
    </row>
    <row r="121" spans="2:29" x14ac:dyDescent="0.2">
      <c r="B121" t="str">
        <f>+'Aggregate, Plant Pick-up'!$C$5</f>
        <v>Complete on PLANT INFORMATION TAB</v>
      </c>
      <c r="C121" t="str">
        <f>+'Aggregate, Plant Pick-up'!$C$6</f>
        <v>LAFARGE-MARBLEHEAD "OSBORNE-CLEVELAND"</v>
      </c>
      <c r="D121" t="str">
        <f>+Plant_Information!$B$10</f>
        <v>04105-28</v>
      </c>
      <c r="E121" t="str">
        <f>+Plant_Information!$B$11</f>
        <v>2100 CENTRAL FURNACE ROAD</v>
      </c>
      <c r="F121" t="str">
        <f>+Plant_Information!$B$12</f>
        <v>CLEVELAND, OH, 44115</v>
      </c>
      <c r="G121" t="str">
        <f>+Plant_Information!$B$13</f>
        <v>12</v>
      </c>
      <c r="H121" s="75" t="str">
        <f>+Plant_Information!$B$14</f>
        <v>CUY</v>
      </c>
      <c r="I121" t="str">
        <f>+'Aggregate, Plant Pick-up'!J$7</f>
        <v>Gravel</v>
      </c>
      <c r="J121" t="str">
        <f>CONCATENATE('Aggregate, Plant Pick-up'!F34," ( ",'Aggregate, Plant Pick-up'!G34," )")</f>
        <v>No. 8 ( 703.02 )</v>
      </c>
      <c r="K121" s="70">
        <f>+'Aggregate, Plant Pick-up'!J34</f>
        <v>0</v>
      </c>
      <c r="Q121" t="str">
        <f>Plant_Information!$B$6</f>
        <v>(INSERT VENDOR NAME HERE)</v>
      </c>
      <c r="R121" t="str">
        <f>'HAULING RATES- ODOT Locations'!$A$124</f>
        <v>District 7</v>
      </c>
      <c r="S121" t="str">
        <f>'HAULING RATES- ODOT Locations'!A144</f>
        <v>Miami</v>
      </c>
      <c r="T121" t="str">
        <f>'HAULING RATES- ODOT Locations'!B144</f>
        <v>9015 Looney Road, Piqua, OH 45356</v>
      </c>
      <c r="U121" t="str">
        <f>'HAULING RATES- ODOT Locations'!C$8</f>
        <v>Stone</v>
      </c>
      <c r="V121" s="146">
        <f>'HAULING RATES- ODOT Locations'!C144</f>
        <v>0</v>
      </c>
      <c r="W121" s="131" t="str">
        <f>+'Aggregate, Plant Pick-up'!$C$6</f>
        <v>LAFARGE-MARBLEHEAD "OSBORNE-CLEVELAND"</v>
      </c>
      <c r="X121" s="131" t="str">
        <f>+Plant_Information!$B$10</f>
        <v>04105-28</v>
      </c>
      <c r="Y121" s="131" t="str">
        <f>+Plant_Information!$B$11</f>
        <v>2100 CENTRAL FURNACE ROAD</v>
      </c>
      <c r="Z121" s="131" t="str">
        <f>+Plant_Information!$B$12</f>
        <v>CLEVELAND, OH, 44115</v>
      </c>
      <c r="AA121" s="131" t="str">
        <f>+Plant_Information!$B$13</f>
        <v>12</v>
      </c>
      <c r="AB121" s="131" t="str">
        <f>+Plant_Information!$B$14</f>
        <v>CUY</v>
      </c>
      <c r="AC121" s="70"/>
    </row>
    <row r="122" spans="2:29" x14ac:dyDescent="0.2">
      <c r="B122" t="str">
        <f>+'Aggregate, Plant Pick-up'!$C$5</f>
        <v>Complete on PLANT INFORMATION TAB</v>
      </c>
      <c r="C122" t="str">
        <f>+'Aggregate, Plant Pick-up'!$C$6</f>
        <v>LAFARGE-MARBLEHEAD "OSBORNE-CLEVELAND"</v>
      </c>
      <c r="D122" t="str">
        <f>+Plant_Information!$B$10</f>
        <v>04105-28</v>
      </c>
      <c r="E122" t="str">
        <f>+Plant_Information!$B$11</f>
        <v>2100 CENTRAL FURNACE ROAD</v>
      </c>
      <c r="F122" t="str">
        <f>+Plant_Information!$B$12</f>
        <v>CLEVELAND, OH, 44115</v>
      </c>
      <c r="G122" t="str">
        <f>+Plant_Information!$B$13</f>
        <v>12</v>
      </c>
      <c r="H122" s="75" t="str">
        <f>+Plant_Information!$B$14</f>
        <v>CUY</v>
      </c>
      <c r="I122" t="str">
        <f>+'Aggregate, Plant Pick-up'!J$7</f>
        <v>Gravel</v>
      </c>
      <c r="J122" t="str">
        <f>CONCATENATE('Aggregate, Plant Pick-up'!F34," ( ",'Aggregate, Plant Pick-up'!G35," )")</f>
        <v>No. 8 ( 703.04 )</v>
      </c>
      <c r="K122" s="70">
        <f>+'Aggregate, Plant Pick-up'!J35</f>
        <v>0</v>
      </c>
      <c r="Q122" t="str">
        <f>Plant_Information!$B$6</f>
        <v>(INSERT VENDOR NAME HERE)</v>
      </c>
      <c r="R122" t="str">
        <f>'HAULING RATES- ODOT Locations'!$A$124</f>
        <v>District 7</v>
      </c>
      <c r="S122" t="str">
        <f>'HAULING RATES- ODOT Locations'!A145</f>
        <v>Montgomery</v>
      </c>
      <c r="T122" t="str">
        <f>'HAULING RATES- ODOT Locations'!B145</f>
        <v>300 Smith Drive, Clayton, OH 45315</v>
      </c>
      <c r="U122" t="str">
        <f>'HAULING RATES- ODOT Locations'!C$8</f>
        <v>Stone</v>
      </c>
      <c r="V122" s="146">
        <f>'HAULING RATES- ODOT Locations'!C145</f>
        <v>0</v>
      </c>
      <c r="W122" s="131" t="str">
        <f>+'Aggregate, Plant Pick-up'!$C$6</f>
        <v>LAFARGE-MARBLEHEAD "OSBORNE-CLEVELAND"</v>
      </c>
      <c r="X122" s="131" t="str">
        <f>+Plant_Information!$B$10</f>
        <v>04105-28</v>
      </c>
      <c r="Y122" s="131" t="str">
        <f>+Plant_Information!$B$11</f>
        <v>2100 CENTRAL FURNACE ROAD</v>
      </c>
      <c r="Z122" s="131" t="str">
        <f>+Plant_Information!$B$12</f>
        <v>CLEVELAND, OH, 44115</v>
      </c>
      <c r="AA122" s="131" t="str">
        <f>+Plant_Information!$B$13</f>
        <v>12</v>
      </c>
      <c r="AB122" s="131" t="str">
        <f>+Plant_Information!$B$14</f>
        <v>CUY</v>
      </c>
      <c r="AC122" s="70"/>
    </row>
    <row r="123" spans="2:29" x14ac:dyDescent="0.2">
      <c r="B123" t="str">
        <f>+'Aggregate, Plant Pick-up'!$C$5</f>
        <v>Complete on PLANT INFORMATION TAB</v>
      </c>
      <c r="C123" t="str">
        <f>+'Aggregate, Plant Pick-up'!$C$6</f>
        <v>LAFARGE-MARBLEHEAD "OSBORNE-CLEVELAND"</v>
      </c>
      <c r="D123" t="str">
        <f>+Plant_Information!$B$10</f>
        <v>04105-28</v>
      </c>
      <c r="E123" t="str">
        <f>+Plant_Information!$B$11</f>
        <v>2100 CENTRAL FURNACE ROAD</v>
      </c>
      <c r="F123" t="str">
        <f>+Plant_Information!$B$12</f>
        <v>CLEVELAND, OH, 44115</v>
      </c>
      <c r="G123" t="str">
        <f>+Plant_Information!$B$13</f>
        <v>12</v>
      </c>
      <c r="H123" s="75" t="str">
        <f>+Plant_Information!$B$14</f>
        <v>CUY</v>
      </c>
      <c r="I123" t="str">
        <f>+'Aggregate, Plant Pick-up'!J$7</f>
        <v>Gravel</v>
      </c>
      <c r="J123" t="str">
        <f>CONCATENATE('Aggregate, Plant Pick-up'!F34," ( ",'Aggregate, Plant Pick-up'!G36," )")</f>
        <v>No. 8 ( 703.05 )</v>
      </c>
      <c r="K123" s="70">
        <f>+'Aggregate, Plant Pick-up'!J36</f>
        <v>0</v>
      </c>
      <c r="Q123" t="str">
        <f>Plant_Information!$B$6</f>
        <v>(INSERT VENDOR NAME HERE)</v>
      </c>
      <c r="R123" t="str">
        <f>'HAULING RATES- ODOT Locations'!$A$124</f>
        <v>District 7</v>
      </c>
      <c r="S123" t="str">
        <f>'HAULING RATES- ODOT Locations'!A146</f>
        <v>Montgomery</v>
      </c>
      <c r="T123" t="str">
        <f>'HAULING RATES- ODOT Locations'!B146</f>
        <v>3500 Dryden Road, Moraine, OH 45439</v>
      </c>
      <c r="U123" t="str">
        <f>'HAULING RATES- ODOT Locations'!C$8</f>
        <v>Stone</v>
      </c>
      <c r="V123" s="146">
        <f>'HAULING RATES- ODOT Locations'!C146</f>
        <v>0</v>
      </c>
      <c r="W123" s="131" t="str">
        <f>+'Aggregate, Plant Pick-up'!$C$6</f>
        <v>LAFARGE-MARBLEHEAD "OSBORNE-CLEVELAND"</v>
      </c>
      <c r="X123" s="131" t="str">
        <f>+Plant_Information!$B$10</f>
        <v>04105-28</v>
      </c>
      <c r="Y123" s="131" t="str">
        <f>+Plant_Information!$B$11</f>
        <v>2100 CENTRAL FURNACE ROAD</v>
      </c>
      <c r="Z123" s="131" t="str">
        <f>+Plant_Information!$B$12</f>
        <v>CLEVELAND, OH, 44115</v>
      </c>
      <c r="AA123" s="131" t="str">
        <f>+Plant_Information!$B$13</f>
        <v>12</v>
      </c>
      <c r="AB123" s="131" t="str">
        <f>+Plant_Information!$B$14</f>
        <v>CUY</v>
      </c>
      <c r="AC123" s="70"/>
    </row>
    <row r="124" spans="2:29" x14ac:dyDescent="0.2">
      <c r="B124" t="str">
        <f>+'Aggregate, Plant Pick-up'!$C$5</f>
        <v>Complete on PLANT INFORMATION TAB</v>
      </c>
      <c r="C124" t="str">
        <f>+'Aggregate, Plant Pick-up'!$C$6</f>
        <v>LAFARGE-MARBLEHEAD "OSBORNE-CLEVELAND"</v>
      </c>
      <c r="D124" t="str">
        <f>+Plant_Information!$B$10</f>
        <v>04105-28</v>
      </c>
      <c r="E124" t="str">
        <f>+Plant_Information!$B$11</f>
        <v>2100 CENTRAL FURNACE ROAD</v>
      </c>
      <c r="F124" t="str">
        <f>+Plant_Information!$B$12</f>
        <v>CLEVELAND, OH, 44115</v>
      </c>
      <c r="G124" t="str">
        <f>+Plant_Information!$B$13</f>
        <v>12</v>
      </c>
      <c r="H124" s="75" t="str">
        <f>+Plant_Information!$B$14</f>
        <v>CUY</v>
      </c>
      <c r="I124" t="str">
        <f>+'Aggregate, Plant Pick-up'!J$7</f>
        <v>Gravel</v>
      </c>
      <c r="J124" t="str">
        <f>CONCATENATE('Aggregate, Plant Pick-up'!F37," ( ",'Aggregate, Plant Pick-up'!G37," )")</f>
        <v>No. 9 ( 703.02 )</v>
      </c>
      <c r="K124" s="70">
        <f>+'Aggregate, Plant Pick-up'!J37</f>
        <v>0</v>
      </c>
      <c r="Q124" t="str">
        <f>Plant_Information!$B$6</f>
        <v>(INSERT VENDOR NAME HERE)</v>
      </c>
      <c r="R124" t="str">
        <f>'HAULING RATES- ODOT Locations'!$A$124</f>
        <v>District 7</v>
      </c>
      <c r="S124" t="str">
        <f>'HAULING RATES- ODOT Locations'!A147</f>
        <v>Montgomery</v>
      </c>
      <c r="T124" t="str">
        <f>'HAULING RATES- ODOT Locations'!B147</f>
        <v>7130 Shull Road, Huber Heights, OH 45424</v>
      </c>
      <c r="U124" t="str">
        <f>'HAULING RATES- ODOT Locations'!C$8</f>
        <v>Stone</v>
      </c>
      <c r="V124" s="146">
        <f>'HAULING RATES- ODOT Locations'!C147</f>
        <v>0</v>
      </c>
      <c r="W124" s="131" t="str">
        <f>+'Aggregate, Plant Pick-up'!$C$6</f>
        <v>LAFARGE-MARBLEHEAD "OSBORNE-CLEVELAND"</v>
      </c>
      <c r="X124" s="131" t="str">
        <f>+Plant_Information!$B$10</f>
        <v>04105-28</v>
      </c>
      <c r="Y124" s="131" t="str">
        <f>+Plant_Information!$B$11</f>
        <v>2100 CENTRAL FURNACE ROAD</v>
      </c>
      <c r="Z124" s="131" t="str">
        <f>+Plant_Information!$B$12</f>
        <v>CLEVELAND, OH, 44115</v>
      </c>
      <c r="AA124" s="131" t="str">
        <f>+Plant_Information!$B$13</f>
        <v>12</v>
      </c>
      <c r="AB124" s="131" t="str">
        <f>+Plant_Information!$B$14</f>
        <v>CUY</v>
      </c>
      <c r="AC124" s="70"/>
    </row>
    <row r="125" spans="2:29" x14ac:dyDescent="0.2">
      <c r="B125" t="str">
        <f>+'Aggregate, Plant Pick-up'!$C$5</f>
        <v>Complete on PLANT INFORMATION TAB</v>
      </c>
      <c r="C125" t="str">
        <f>+'Aggregate, Plant Pick-up'!$C$6</f>
        <v>LAFARGE-MARBLEHEAD "OSBORNE-CLEVELAND"</v>
      </c>
      <c r="D125" t="str">
        <f>+Plant_Information!$B$10</f>
        <v>04105-28</v>
      </c>
      <c r="E125" t="str">
        <f>+Plant_Information!$B$11</f>
        <v>2100 CENTRAL FURNACE ROAD</v>
      </c>
      <c r="F125" t="str">
        <f>+Plant_Information!$B$12</f>
        <v>CLEVELAND, OH, 44115</v>
      </c>
      <c r="G125" t="str">
        <f>+Plant_Information!$B$13</f>
        <v>12</v>
      </c>
      <c r="H125" s="75" t="str">
        <f>+Plant_Information!$B$14</f>
        <v>CUY</v>
      </c>
      <c r="I125" t="str">
        <f>+'Aggregate, Plant Pick-up'!J$7</f>
        <v>Gravel</v>
      </c>
      <c r="J125" t="str">
        <f>CONCATENATE('Aggregate, Plant Pick-up'!F37," ( ",'Aggregate, Plant Pick-up'!G38," )")</f>
        <v>No. 9 ( 703.04 )</v>
      </c>
      <c r="K125" s="70">
        <f>+'Aggregate, Plant Pick-up'!J38</f>
        <v>0</v>
      </c>
      <c r="Q125" t="str">
        <f>Plant_Information!$B$6</f>
        <v>(INSERT VENDOR NAME HERE)</v>
      </c>
      <c r="R125" t="str">
        <f>'HAULING RATES- ODOT Locations'!$A$124</f>
        <v>District 7</v>
      </c>
      <c r="S125" t="str">
        <f>'HAULING RATES- ODOT Locations'!A148</f>
        <v>Shelby</v>
      </c>
      <c r="T125" t="str">
        <f>'HAULING RATES- ODOT Locations'!B148</f>
        <v>2190 Saint Marys Avenue, Sidney, OH 45365</v>
      </c>
      <c r="U125" t="str">
        <f>'HAULING RATES- ODOT Locations'!C$8</f>
        <v>Stone</v>
      </c>
      <c r="V125" s="146">
        <f>'HAULING RATES- ODOT Locations'!C148</f>
        <v>0</v>
      </c>
      <c r="W125" s="131" t="str">
        <f>+'Aggregate, Plant Pick-up'!$C$6</f>
        <v>LAFARGE-MARBLEHEAD "OSBORNE-CLEVELAND"</v>
      </c>
      <c r="X125" s="131" t="str">
        <f>+Plant_Information!$B$10</f>
        <v>04105-28</v>
      </c>
      <c r="Y125" s="131" t="str">
        <f>+Plant_Information!$B$11</f>
        <v>2100 CENTRAL FURNACE ROAD</v>
      </c>
      <c r="Z125" s="131" t="str">
        <f>+Plant_Information!$B$12</f>
        <v>CLEVELAND, OH, 44115</v>
      </c>
      <c r="AA125" s="131" t="str">
        <f>+Plant_Information!$B$13</f>
        <v>12</v>
      </c>
      <c r="AB125" s="131" t="str">
        <f>+Plant_Information!$B$14</f>
        <v>CUY</v>
      </c>
      <c r="AC125" s="70"/>
    </row>
    <row r="126" spans="2:29" x14ac:dyDescent="0.2">
      <c r="B126" t="str">
        <f>+'Aggregate, Plant Pick-up'!$C$5</f>
        <v>Complete on PLANT INFORMATION TAB</v>
      </c>
      <c r="C126" t="str">
        <f>+'Aggregate, Plant Pick-up'!$C$6</f>
        <v>LAFARGE-MARBLEHEAD "OSBORNE-CLEVELAND"</v>
      </c>
      <c r="D126" t="str">
        <f>+Plant_Information!$B$10</f>
        <v>04105-28</v>
      </c>
      <c r="E126" t="str">
        <f>+Plant_Information!$B$11</f>
        <v>2100 CENTRAL FURNACE ROAD</v>
      </c>
      <c r="F126" t="str">
        <f>+Plant_Information!$B$12</f>
        <v>CLEVELAND, OH, 44115</v>
      </c>
      <c r="H126" s="75" t="str">
        <f>+Plant_Information!$B$14</f>
        <v>CUY</v>
      </c>
      <c r="I126" t="str">
        <f>+'Aggregate, Plant Pick-up'!J$7</f>
        <v>Gravel</v>
      </c>
      <c r="J126" t="str">
        <f>CONCATENATE('Aggregate, Plant Pick-up'!F37," ( ",'Aggregate, Plant Pick-up'!G39," )")</f>
        <v>No. 9 ( 703.05 )</v>
      </c>
      <c r="K126" s="70">
        <f>+'Aggregate, Plant Pick-up'!J39</f>
        <v>0</v>
      </c>
      <c r="Q126" s="138" t="str">
        <f>Plant_Information!$B$6</f>
        <v>(INSERT VENDOR NAME HERE)</v>
      </c>
      <c r="R126" s="138" t="str">
        <f>'HAULING RATES- ODOT Locations'!$A$124</f>
        <v>District 7</v>
      </c>
      <c r="S126" s="138" t="str">
        <f>'HAULING RATES- ODOT Locations'!A149</f>
        <v>Shelby</v>
      </c>
      <c r="T126" s="138" t="str">
        <f>'HAULING RATES- ODOT Locations'!B149</f>
        <v>15825 County Road 25A, Botkins, OH 45306</v>
      </c>
      <c r="U126" s="138" t="str">
        <f>'HAULING RATES- ODOT Locations'!C$8</f>
        <v>Stone</v>
      </c>
      <c r="V126" s="146">
        <f>'HAULING RATES- ODOT Locations'!C149</f>
        <v>0</v>
      </c>
      <c r="W126" s="141" t="str">
        <f>+'Aggregate, Plant Pick-up'!$C$6</f>
        <v>LAFARGE-MARBLEHEAD "OSBORNE-CLEVELAND"</v>
      </c>
      <c r="X126" s="141" t="str">
        <f>+Plant_Information!$B$10</f>
        <v>04105-28</v>
      </c>
      <c r="Y126" s="141" t="str">
        <f>+Plant_Information!$B$11</f>
        <v>2100 CENTRAL FURNACE ROAD</v>
      </c>
      <c r="Z126" s="141" t="str">
        <f>+Plant_Information!$B$12</f>
        <v>CLEVELAND, OH, 44115</v>
      </c>
      <c r="AA126" s="141" t="str">
        <f>+Plant_Information!$B$13</f>
        <v>12</v>
      </c>
      <c r="AB126" s="141" t="str">
        <f>+Plant_Information!$B$14</f>
        <v>CUY</v>
      </c>
      <c r="AC126" s="70"/>
    </row>
    <row r="127" spans="2:29" x14ac:dyDescent="0.2">
      <c r="Q127" t="str">
        <f>Plant_Information!$B$6</f>
        <v>(INSERT VENDOR NAME HERE)</v>
      </c>
      <c r="R127" t="str">
        <f>'HAULING RATES- ODOT Locations'!$A$124</f>
        <v>District 7</v>
      </c>
      <c r="S127" t="str">
        <f>'HAULING RATES- ODOT Locations'!A150</f>
        <v>Shelby</v>
      </c>
      <c r="T127" t="str">
        <f>'HAULING RATES- ODOT Locations'!B150</f>
        <v>Newport OP, 4339 W. State Route 47, Ft. Loramie, OH 45845</v>
      </c>
      <c r="U127" t="str">
        <f>'HAULING RATES- ODOT Locations'!C$8</f>
        <v>Stone</v>
      </c>
      <c r="V127" s="146">
        <f>'HAULING RATES- ODOT Locations'!C150</f>
        <v>0</v>
      </c>
      <c r="W127" s="131" t="str">
        <f>+'Aggregate, Plant Pick-up'!$C$6</f>
        <v>LAFARGE-MARBLEHEAD "OSBORNE-CLEVELAND"</v>
      </c>
      <c r="X127" s="131" t="str">
        <f>+Plant_Information!$B$10</f>
        <v>04105-28</v>
      </c>
      <c r="Y127" s="131" t="str">
        <f>+Plant_Information!$B$11</f>
        <v>2100 CENTRAL FURNACE ROAD</v>
      </c>
      <c r="Z127" s="131" t="str">
        <f>+Plant_Information!$B$12</f>
        <v>CLEVELAND, OH, 44115</v>
      </c>
      <c r="AA127" s="131" t="str">
        <f>+Plant_Information!$B$13</f>
        <v>12</v>
      </c>
      <c r="AB127" s="131" t="str">
        <f>+Plant_Information!$B$14</f>
        <v>CUY</v>
      </c>
      <c r="AC127" s="70"/>
    </row>
    <row r="128" spans="2:29" x14ac:dyDescent="0.2">
      <c r="Q128" t="str">
        <f>Plant_Information!$B$6</f>
        <v>(INSERT VENDOR NAME HERE)</v>
      </c>
      <c r="R128" t="str">
        <f>'HAULING RATES- ODOT Locations'!$A$151</f>
        <v>District 8</v>
      </c>
      <c r="S128" t="str">
        <f>'HAULING RATES- ODOT Locations'!A154</f>
        <v>Butler</v>
      </c>
      <c r="T128" t="str">
        <f>'HAULING RATES- ODOT Locations'!B154</f>
        <v>4560 Kyles Station, Hamilton, OH 45011</v>
      </c>
      <c r="U128" t="str">
        <f>'HAULING RATES- ODOT Locations'!C$8</f>
        <v>Stone</v>
      </c>
      <c r="V128" s="146">
        <f>'HAULING RATES- ODOT Locations'!C154</f>
        <v>0</v>
      </c>
      <c r="W128" s="131" t="str">
        <f>+'Aggregate, Plant Pick-up'!$C$6</f>
        <v>LAFARGE-MARBLEHEAD "OSBORNE-CLEVELAND"</v>
      </c>
      <c r="X128" s="131" t="str">
        <f>+Plant_Information!$B$10</f>
        <v>04105-28</v>
      </c>
      <c r="Y128" s="131" t="str">
        <f>+Plant_Information!$B$11</f>
        <v>2100 CENTRAL FURNACE ROAD</v>
      </c>
      <c r="Z128" s="131" t="str">
        <f>+Plant_Information!$B$12</f>
        <v>CLEVELAND, OH, 44115</v>
      </c>
      <c r="AA128" s="131" t="str">
        <f>+Plant_Information!$B$13</f>
        <v>12</v>
      </c>
      <c r="AB128" s="131" t="str">
        <f>+Plant_Information!$B$14</f>
        <v>CUY</v>
      </c>
      <c r="AC128" s="70"/>
    </row>
    <row r="129" spans="17:29" x14ac:dyDescent="0.2">
      <c r="Q129" t="str">
        <f>Plant_Information!$B$6</f>
        <v>(INSERT VENDOR NAME HERE)</v>
      </c>
      <c r="R129" t="str">
        <f>'HAULING RATES- ODOT Locations'!$A$151</f>
        <v>District 8</v>
      </c>
      <c r="S129" t="str">
        <f>'HAULING RATES- ODOT Locations'!A155</f>
        <v>Butler</v>
      </c>
      <c r="T129" t="str">
        <f>'HAULING RATES- ODOT Locations'!B155</f>
        <v>4011 Tytus Ave., Middletown, OH 45042</v>
      </c>
      <c r="U129" t="str">
        <f>'HAULING RATES- ODOT Locations'!C$8</f>
        <v>Stone</v>
      </c>
      <c r="V129" s="146">
        <f>'HAULING RATES- ODOT Locations'!C155</f>
        <v>0</v>
      </c>
      <c r="W129" s="131" t="str">
        <f>+'Aggregate, Plant Pick-up'!$C$6</f>
        <v>LAFARGE-MARBLEHEAD "OSBORNE-CLEVELAND"</v>
      </c>
      <c r="X129" s="131" t="str">
        <f>+Plant_Information!$B$10</f>
        <v>04105-28</v>
      </c>
      <c r="Y129" s="131" t="str">
        <f>+Plant_Information!$B$11</f>
        <v>2100 CENTRAL FURNACE ROAD</v>
      </c>
      <c r="Z129" s="131" t="str">
        <f>+Plant_Information!$B$12</f>
        <v>CLEVELAND, OH, 44115</v>
      </c>
      <c r="AA129" s="131" t="str">
        <f>+Plant_Information!$B$13</f>
        <v>12</v>
      </c>
      <c r="AB129" s="131" t="str">
        <f>+Plant_Information!$B$14</f>
        <v>CUY</v>
      </c>
      <c r="AC129" s="70"/>
    </row>
    <row r="130" spans="17:29" x14ac:dyDescent="0.2">
      <c r="Q130" t="str">
        <f>Plant_Information!$B$6</f>
        <v>(INSERT VENDOR NAME HERE)</v>
      </c>
      <c r="R130" t="str">
        <f>'HAULING RATES- ODOT Locations'!$A$151</f>
        <v>District 8</v>
      </c>
      <c r="S130" t="str">
        <f>'HAULING RATES- ODOT Locations'!A156</f>
        <v>Clermont</v>
      </c>
      <c r="T130" t="str">
        <f>'HAULING RATES- ODOT Locations'!B156</f>
        <v>Batavia Garage, 3600 SR 132, Amelia, OH 45102</v>
      </c>
      <c r="U130" t="str">
        <f>'HAULING RATES- ODOT Locations'!C$8</f>
        <v>Stone</v>
      </c>
      <c r="V130" s="146">
        <f>'HAULING RATES- ODOT Locations'!C156</f>
        <v>0</v>
      </c>
      <c r="W130" s="131" t="str">
        <f>+'Aggregate, Plant Pick-up'!$C$6</f>
        <v>LAFARGE-MARBLEHEAD "OSBORNE-CLEVELAND"</v>
      </c>
      <c r="X130" s="131" t="str">
        <f>+Plant_Information!$B$10</f>
        <v>04105-28</v>
      </c>
      <c r="Y130" s="131" t="str">
        <f>+Plant_Information!$B$11</f>
        <v>2100 CENTRAL FURNACE ROAD</v>
      </c>
      <c r="Z130" s="131" t="str">
        <f>+Plant_Information!$B$12</f>
        <v>CLEVELAND, OH, 44115</v>
      </c>
      <c r="AA130" s="131" t="str">
        <f>+Plant_Information!$B$13</f>
        <v>12</v>
      </c>
      <c r="AB130" s="131" t="str">
        <f>+Plant_Information!$B$14</f>
        <v>CUY</v>
      </c>
      <c r="AC130" s="70"/>
    </row>
    <row r="131" spans="17:29" x14ac:dyDescent="0.2">
      <c r="Q131" t="str">
        <f>Plant_Information!$B$6</f>
        <v>(INSERT VENDOR NAME HERE)</v>
      </c>
      <c r="R131" t="str">
        <f>'HAULING RATES- ODOT Locations'!$A$151</f>
        <v>District 8</v>
      </c>
      <c r="S131" t="str">
        <f>'HAULING RATES- ODOT Locations'!A157</f>
        <v>Clermont</v>
      </c>
      <c r="T131" t="str">
        <f>'HAULING RATES- ODOT Locations'!B157</f>
        <v>809 U. S. Route 50, Milford, OH 45150</v>
      </c>
      <c r="U131" t="str">
        <f>'HAULING RATES- ODOT Locations'!C$8</f>
        <v>Stone</v>
      </c>
      <c r="V131" s="146">
        <f>'HAULING RATES- ODOT Locations'!C157</f>
        <v>0</v>
      </c>
      <c r="W131" s="131" t="str">
        <f>+'Aggregate, Plant Pick-up'!$C$6</f>
        <v>LAFARGE-MARBLEHEAD "OSBORNE-CLEVELAND"</v>
      </c>
      <c r="X131" s="131" t="str">
        <f>+Plant_Information!$B$10</f>
        <v>04105-28</v>
      </c>
      <c r="Y131" s="131" t="str">
        <f>+Plant_Information!$B$11</f>
        <v>2100 CENTRAL FURNACE ROAD</v>
      </c>
      <c r="Z131" s="131" t="str">
        <f>+Plant_Information!$B$12</f>
        <v>CLEVELAND, OH, 44115</v>
      </c>
      <c r="AA131" s="131" t="str">
        <f>+Plant_Information!$B$13</f>
        <v>12</v>
      </c>
      <c r="AB131" s="131" t="str">
        <f>+Plant_Information!$B$14</f>
        <v>CUY</v>
      </c>
      <c r="AC131" s="70"/>
    </row>
    <row r="132" spans="17:29" x14ac:dyDescent="0.2">
      <c r="Q132" t="str">
        <f>Plant_Information!$B$6</f>
        <v>(INSERT VENDOR NAME HERE)</v>
      </c>
      <c r="R132" t="str">
        <f>'HAULING RATES- ODOT Locations'!$A$151</f>
        <v>District 8</v>
      </c>
      <c r="S132" t="str">
        <f>'HAULING RATES- ODOT Locations'!A158</f>
        <v>Clermont</v>
      </c>
      <c r="T132" t="str">
        <f>'HAULING RATES- ODOT Locations'!B158</f>
        <v>939 Old U. S. Route 52, New Richmond, OH 45157</v>
      </c>
      <c r="U132" t="str">
        <f>'HAULING RATES- ODOT Locations'!C$8</f>
        <v>Stone</v>
      </c>
      <c r="V132" s="146">
        <f>'HAULING RATES- ODOT Locations'!C158</f>
        <v>0</v>
      </c>
      <c r="W132" s="131" t="str">
        <f>+'Aggregate, Plant Pick-up'!$C$6</f>
        <v>LAFARGE-MARBLEHEAD "OSBORNE-CLEVELAND"</v>
      </c>
      <c r="X132" s="131" t="str">
        <f>+Plant_Information!$B$10</f>
        <v>04105-28</v>
      </c>
      <c r="Y132" s="131" t="str">
        <f>+Plant_Information!$B$11</f>
        <v>2100 CENTRAL FURNACE ROAD</v>
      </c>
      <c r="Z132" s="131" t="str">
        <f>+Plant_Information!$B$12</f>
        <v>CLEVELAND, OH, 44115</v>
      </c>
      <c r="AA132" s="131" t="str">
        <f>+Plant_Information!$B$13</f>
        <v>12</v>
      </c>
      <c r="AB132" s="131" t="str">
        <f>+Plant_Information!$B$14</f>
        <v>CUY</v>
      </c>
      <c r="AC132" s="70"/>
    </row>
    <row r="133" spans="17:29" x14ac:dyDescent="0.2">
      <c r="Q133" t="str">
        <f>Plant_Information!$B$6</f>
        <v>(INSERT VENDOR NAME HERE)</v>
      </c>
      <c r="R133" t="str">
        <f>'HAULING RATES- ODOT Locations'!$A$151</f>
        <v>District 8</v>
      </c>
      <c r="S133" t="str">
        <f>'HAULING RATES- ODOT Locations'!A159</f>
        <v>Clinton</v>
      </c>
      <c r="T133" t="str">
        <f>'HAULING RATES- ODOT Locations'!B159</f>
        <v>3382 U. S. Route 68, Wilmington, OH 45177</v>
      </c>
      <c r="U133" t="str">
        <f>'HAULING RATES- ODOT Locations'!C$8</f>
        <v>Stone</v>
      </c>
      <c r="V133" s="146">
        <f>'HAULING RATES- ODOT Locations'!C159</f>
        <v>0</v>
      </c>
      <c r="W133" s="131" t="str">
        <f>+'Aggregate, Plant Pick-up'!$C$6</f>
        <v>LAFARGE-MARBLEHEAD "OSBORNE-CLEVELAND"</v>
      </c>
      <c r="X133" s="131" t="str">
        <f>+Plant_Information!$B$10</f>
        <v>04105-28</v>
      </c>
      <c r="Y133" s="131" t="str">
        <f>+Plant_Information!$B$11</f>
        <v>2100 CENTRAL FURNACE ROAD</v>
      </c>
      <c r="Z133" s="131" t="str">
        <f>+Plant_Information!$B$12</f>
        <v>CLEVELAND, OH, 44115</v>
      </c>
      <c r="AA133" s="131" t="str">
        <f>+Plant_Information!$B$13</f>
        <v>12</v>
      </c>
      <c r="AB133" s="131" t="str">
        <f>+Plant_Information!$B$14</f>
        <v>CUY</v>
      </c>
      <c r="AC133" s="70"/>
    </row>
    <row r="134" spans="17:29" x14ac:dyDescent="0.2">
      <c r="Q134" t="str">
        <f>Plant_Information!$B$6</f>
        <v>(INSERT VENDOR NAME HERE)</v>
      </c>
      <c r="R134" t="str">
        <f>'HAULING RATES- ODOT Locations'!$A$151</f>
        <v>District 8</v>
      </c>
      <c r="S134" t="str">
        <f>'HAULING RATES- ODOT Locations'!A160</f>
        <v>Clinton</v>
      </c>
      <c r="T134" t="str">
        <f>'HAULING RATES- ODOT Locations'!B160</f>
        <v>5996 U. S. Route 68, Wilmington, OH 45177  (I-71 &amp; USR 68 OP)</v>
      </c>
      <c r="U134" t="str">
        <f>'HAULING RATES- ODOT Locations'!C$8</f>
        <v>Stone</v>
      </c>
      <c r="V134" s="146">
        <f>'HAULING RATES- ODOT Locations'!C160</f>
        <v>0</v>
      </c>
      <c r="W134" s="131" t="str">
        <f>+'Aggregate, Plant Pick-up'!$C$6</f>
        <v>LAFARGE-MARBLEHEAD "OSBORNE-CLEVELAND"</v>
      </c>
      <c r="X134" s="131" t="str">
        <f>+Plant_Information!$B$10</f>
        <v>04105-28</v>
      </c>
      <c r="Y134" s="131" t="str">
        <f>+Plant_Information!$B$11</f>
        <v>2100 CENTRAL FURNACE ROAD</v>
      </c>
      <c r="Z134" s="131" t="str">
        <f>+Plant_Information!$B$12</f>
        <v>CLEVELAND, OH, 44115</v>
      </c>
      <c r="AA134" s="131" t="str">
        <f>+Plant_Information!$B$13</f>
        <v>12</v>
      </c>
      <c r="AB134" s="131" t="str">
        <f>+Plant_Information!$B$14</f>
        <v>CUY</v>
      </c>
      <c r="AC134" s="70"/>
    </row>
    <row r="135" spans="17:29" x14ac:dyDescent="0.2">
      <c r="Q135" t="str">
        <f>Plant_Information!$B$6</f>
        <v>(INSERT VENDOR NAME HERE)</v>
      </c>
      <c r="R135" t="str">
        <f>'HAULING RATES- ODOT Locations'!$A$151</f>
        <v>District 8</v>
      </c>
      <c r="S135" t="str">
        <f>'HAULING RATES- ODOT Locations'!A161</f>
        <v>Greene</v>
      </c>
      <c r="T135" t="str">
        <f>'HAULING RATES- ODOT Locations'!B161</f>
        <v>81 Innovation Dr., Xenia, OH 45385</v>
      </c>
      <c r="U135" t="str">
        <f>'HAULING RATES- ODOT Locations'!C$8</f>
        <v>Stone</v>
      </c>
      <c r="V135" s="146">
        <f>'HAULING RATES- ODOT Locations'!C161</f>
        <v>0</v>
      </c>
      <c r="W135" s="131" t="str">
        <f>+'Aggregate, Plant Pick-up'!$C$6</f>
        <v>LAFARGE-MARBLEHEAD "OSBORNE-CLEVELAND"</v>
      </c>
      <c r="X135" s="131" t="str">
        <f>+Plant_Information!$B$10</f>
        <v>04105-28</v>
      </c>
      <c r="Y135" s="131" t="str">
        <f>+Plant_Information!$B$11</f>
        <v>2100 CENTRAL FURNACE ROAD</v>
      </c>
      <c r="Z135" s="131" t="str">
        <f>+Plant_Information!$B$12</f>
        <v>CLEVELAND, OH, 44115</v>
      </c>
      <c r="AA135" s="131" t="str">
        <f>+Plant_Information!$B$13</f>
        <v>12</v>
      </c>
      <c r="AB135" s="131" t="str">
        <f>+Plant_Information!$B$14</f>
        <v>CUY</v>
      </c>
      <c r="AC135" s="70"/>
    </row>
    <row r="136" spans="17:29" x14ac:dyDescent="0.2">
      <c r="Q136" t="str">
        <f>Plant_Information!$B$6</f>
        <v>(INSERT VENDOR NAME HERE)</v>
      </c>
      <c r="R136" t="str">
        <f>'HAULING RATES- ODOT Locations'!$A$151</f>
        <v>District 8</v>
      </c>
      <c r="S136" t="str">
        <f>'HAULING RATES- ODOT Locations'!A162</f>
        <v>Hamilton</v>
      </c>
      <c r="T136" t="str">
        <f>'HAULING RATES- ODOT Locations'!B162</f>
        <v>Blue Ash OP, 11590 Grooms Road, Blue Ash, OH 45242</v>
      </c>
      <c r="U136" t="str">
        <f>'HAULING RATES- ODOT Locations'!C$8</f>
        <v>Stone</v>
      </c>
      <c r="V136" s="146">
        <f>'HAULING RATES- ODOT Locations'!C162</f>
        <v>0</v>
      </c>
      <c r="W136" s="131" t="str">
        <f>+'Aggregate, Plant Pick-up'!$C$6</f>
        <v>LAFARGE-MARBLEHEAD "OSBORNE-CLEVELAND"</v>
      </c>
      <c r="X136" s="131" t="str">
        <f>+Plant_Information!$B$10</f>
        <v>04105-28</v>
      </c>
      <c r="Y136" s="131" t="str">
        <f>+Plant_Information!$B$11</f>
        <v>2100 CENTRAL FURNACE ROAD</v>
      </c>
      <c r="Z136" s="131" t="str">
        <f>+Plant_Information!$B$12</f>
        <v>CLEVELAND, OH, 44115</v>
      </c>
      <c r="AA136" s="131" t="str">
        <f>+Plant_Information!$B$13</f>
        <v>12</v>
      </c>
      <c r="AB136" s="131" t="str">
        <f>+Plant_Information!$B$14</f>
        <v>CUY</v>
      </c>
      <c r="AC136" s="70"/>
    </row>
    <row r="137" spans="17:29" x14ac:dyDescent="0.2">
      <c r="Q137" t="str">
        <f>Plant_Information!$B$6</f>
        <v>(INSERT VENDOR NAME HERE)</v>
      </c>
      <c r="R137" t="str">
        <f>'HAULING RATES- ODOT Locations'!$A$151</f>
        <v>District 8</v>
      </c>
      <c r="S137" t="str">
        <f>'HAULING RATES- ODOT Locations'!A163</f>
        <v>Hamilton</v>
      </c>
      <c r="T137" t="str">
        <f>'HAULING RATES- ODOT Locations'!B163</f>
        <v>Hamilton Garage, Carthage, 1400 E. Seymour Ave., Cincinnati, OH 45327</v>
      </c>
      <c r="U137" t="str">
        <f>'HAULING RATES- ODOT Locations'!C$8</f>
        <v>Stone</v>
      </c>
      <c r="V137" s="146">
        <f>'HAULING RATES- ODOT Locations'!C163</f>
        <v>0</v>
      </c>
      <c r="W137" s="131" t="str">
        <f>+'Aggregate, Plant Pick-up'!$C$6</f>
        <v>LAFARGE-MARBLEHEAD "OSBORNE-CLEVELAND"</v>
      </c>
      <c r="X137" s="131" t="str">
        <f>+Plant_Information!$B$10</f>
        <v>04105-28</v>
      </c>
      <c r="Y137" s="131" t="str">
        <f>+Plant_Information!$B$11</f>
        <v>2100 CENTRAL FURNACE ROAD</v>
      </c>
      <c r="Z137" s="131" t="str">
        <f>+Plant_Information!$B$12</f>
        <v>CLEVELAND, OH, 44115</v>
      </c>
      <c r="AA137" s="131" t="str">
        <f>+Plant_Information!$B$13</f>
        <v>12</v>
      </c>
      <c r="AB137" s="131" t="str">
        <f>+Plant_Information!$B$14</f>
        <v>CUY</v>
      </c>
      <c r="AC137" s="70"/>
    </row>
    <row r="138" spans="17:29" x14ac:dyDescent="0.2">
      <c r="Q138" t="str">
        <f>Plant_Information!$B$6</f>
        <v>(INSERT VENDOR NAME HERE)</v>
      </c>
      <c r="R138" t="str">
        <f>'HAULING RATES- ODOT Locations'!$A$151</f>
        <v>District 8</v>
      </c>
      <c r="S138" t="str">
        <f>'HAULING RATES- ODOT Locations'!A164</f>
        <v>Hamilton</v>
      </c>
      <c r="T138" t="str">
        <f>'HAULING RATES- ODOT Locations'!B164</f>
        <v>5903 State Route 128, Miamitown, OH 45041</v>
      </c>
      <c r="U138" t="str">
        <f>'HAULING RATES- ODOT Locations'!C$8</f>
        <v>Stone</v>
      </c>
      <c r="V138" s="146">
        <f>'HAULING RATES- ODOT Locations'!C164</f>
        <v>0</v>
      </c>
      <c r="W138" s="131" t="str">
        <f>+'Aggregate, Plant Pick-up'!$C$6</f>
        <v>LAFARGE-MARBLEHEAD "OSBORNE-CLEVELAND"</v>
      </c>
      <c r="X138" s="131" t="str">
        <f>+Plant_Information!$B$10</f>
        <v>04105-28</v>
      </c>
      <c r="Y138" s="131" t="str">
        <f>+Plant_Information!$B$11</f>
        <v>2100 CENTRAL FURNACE ROAD</v>
      </c>
      <c r="Z138" s="131" t="str">
        <f>+Plant_Information!$B$12</f>
        <v>CLEVELAND, OH, 44115</v>
      </c>
      <c r="AA138" s="131" t="str">
        <f>+Plant_Information!$B$13</f>
        <v>12</v>
      </c>
      <c r="AB138" s="131" t="str">
        <f>+Plant_Information!$B$14</f>
        <v>CUY</v>
      </c>
      <c r="AC138" s="70"/>
    </row>
    <row r="139" spans="17:29" x14ac:dyDescent="0.2">
      <c r="Q139" t="str">
        <f>Plant_Information!$B$6</f>
        <v>(INSERT VENDOR NAME HERE)</v>
      </c>
      <c r="R139" t="str">
        <f>'HAULING RATES- ODOT Locations'!$A$151</f>
        <v>District 8</v>
      </c>
      <c r="S139" t="str">
        <f>'HAULING RATES- ODOT Locations'!A165</f>
        <v>Hamilton</v>
      </c>
      <c r="T139" t="str">
        <f>'HAULING RATES- ODOT Locations'!B165</f>
        <v>Sharonville OP, 11900 Chesterdale Rd.,  Cincinnati</v>
      </c>
      <c r="U139" t="str">
        <f>'HAULING RATES- ODOT Locations'!C$8</f>
        <v>Stone</v>
      </c>
      <c r="V139" s="146">
        <f>'HAULING RATES- ODOT Locations'!C165</f>
        <v>0</v>
      </c>
      <c r="W139" s="131" t="str">
        <f>+'Aggregate, Plant Pick-up'!$C$6</f>
        <v>LAFARGE-MARBLEHEAD "OSBORNE-CLEVELAND"</v>
      </c>
      <c r="X139" s="131" t="str">
        <f>+Plant_Information!$B$10</f>
        <v>04105-28</v>
      </c>
      <c r="Y139" s="131" t="str">
        <f>+Plant_Information!$B$11</f>
        <v>2100 CENTRAL FURNACE ROAD</v>
      </c>
      <c r="Z139" s="131" t="str">
        <f>+Plant_Information!$B$12</f>
        <v>CLEVELAND, OH, 44115</v>
      </c>
      <c r="AA139" s="131" t="str">
        <f>+Plant_Information!$B$13</f>
        <v>12</v>
      </c>
      <c r="AB139" s="131" t="str">
        <f>+Plant_Information!$B$14</f>
        <v>CUY</v>
      </c>
      <c r="AC139" s="70"/>
    </row>
    <row r="140" spans="17:29" x14ac:dyDescent="0.2">
      <c r="Q140" t="str">
        <f>Plant_Information!$B$6</f>
        <v>(INSERT VENDOR NAME HERE)</v>
      </c>
      <c r="R140" t="str">
        <f>'HAULING RATES- ODOT Locations'!$A$151</f>
        <v>District 8</v>
      </c>
      <c r="S140" t="str">
        <f>'HAULING RATES- ODOT Locations'!A166</f>
        <v>Preble</v>
      </c>
      <c r="T140" t="str">
        <f>'HAULING RATES- ODOT Locations'!B166</f>
        <v>40' Pitch OP, 5656 US 127 North, Eaton, OH 45320</v>
      </c>
      <c r="U140" t="str">
        <f>'HAULING RATES- ODOT Locations'!C$8</f>
        <v>Stone</v>
      </c>
      <c r="V140" s="146">
        <f>'HAULING RATES- ODOT Locations'!C166</f>
        <v>0</v>
      </c>
      <c r="W140" s="131" t="str">
        <f>+'Aggregate, Plant Pick-up'!$C$6</f>
        <v>LAFARGE-MARBLEHEAD "OSBORNE-CLEVELAND"</v>
      </c>
      <c r="X140" s="131" t="str">
        <f>+Plant_Information!$B$10</f>
        <v>04105-28</v>
      </c>
      <c r="Y140" s="131" t="str">
        <f>+Plant_Information!$B$11</f>
        <v>2100 CENTRAL FURNACE ROAD</v>
      </c>
      <c r="Z140" s="131" t="str">
        <f>+Plant_Information!$B$12</f>
        <v>CLEVELAND, OH, 44115</v>
      </c>
      <c r="AA140" s="131" t="str">
        <f>+Plant_Information!$B$13</f>
        <v>12</v>
      </c>
      <c r="AB140" s="131" t="str">
        <f>+Plant_Information!$B$14</f>
        <v>CUY</v>
      </c>
      <c r="AC140" s="70"/>
    </row>
    <row r="141" spans="17:29" x14ac:dyDescent="0.2">
      <c r="Q141" t="str">
        <f>Plant_Information!$B$6</f>
        <v>(INSERT VENDOR NAME HERE)</v>
      </c>
      <c r="R141" t="str">
        <f>'HAULING RATES- ODOT Locations'!$A$151</f>
        <v>District 8</v>
      </c>
      <c r="S141" t="str">
        <f>'HAULING RATES- ODOT Locations'!A167</f>
        <v>Preble</v>
      </c>
      <c r="T141" t="str">
        <f>'HAULING RATES- ODOT Locations'!B167</f>
        <v>39.575773, -84.711591, According to Google Maps, 17188 SR 732, Camden, Ohio  45311</v>
      </c>
      <c r="U141" t="str">
        <f>'HAULING RATES- ODOT Locations'!C$8</f>
        <v>Stone</v>
      </c>
      <c r="V141" s="146">
        <f>'HAULING RATES- ODOT Locations'!C167</f>
        <v>0</v>
      </c>
      <c r="W141" s="131" t="str">
        <f>+'Aggregate, Plant Pick-up'!$C$6</f>
        <v>LAFARGE-MARBLEHEAD "OSBORNE-CLEVELAND"</v>
      </c>
      <c r="X141" s="131" t="str">
        <f>+Plant_Information!$B$10</f>
        <v>04105-28</v>
      </c>
      <c r="Y141" s="131" t="str">
        <f>+Plant_Information!$B$11</f>
        <v>2100 CENTRAL FURNACE ROAD</v>
      </c>
      <c r="Z141" s="131" t="str">
        <f>+Plant_Information!$B$12</f>
        <v>CLEVELAND, OH, 44115</v>
      </c>
      <c r="AA141" s="131" t="str">
        <f>+Plant_Information!$B$13</f>
        <v>12</v>
      </c>
      <c r="AB141" s="131" t="str">
        <f>+Plant_Information!$B$14</f>
        <v>CUY</v>
      </c>
      <c r="AC141" s="70"/>
    </row>
    <row r="142" spans="17:29" x14ac:dyDescent="0.2">
      <c r="Q142" t="str">
        <f>Plant_Information!$B$6</f>
        <v>(INSERT VENDOR NAME HERE)</v>
      </c>
      <c r="R142" t="str">
        <f>'HAULING RATES- ODOT Locations'!$A$151</f>
        <v>District 8</v>
      </c>
      <c r="S142" t="str">
        <f>'HAULING RATES- ODOT Locations'!A168</f>
        <v>Preble</v>
      </c>
      <c r="T142" t="str">
        <f>'HAULING RATES- ODOT Locations'!B168</f>
        <v>234 Quaker Trace Road, West Alexandria, OH 45381</v>
      </c>
      <c r="U142" t="str">
        <f>'HAULING RATES- ODOT Locations'!C$8</f>
        <v>Stone</v>
      </c>
      <c r="V142" s="146">
        <f>'HAULING RATES- ODOT Locations'!C168</f>
        <v>0</v>
      </c>
      <c r="W142" s="131" t="str">
        <f>+'Aggregate, Plant Pick-up'!$C$6</f>
        <v>LAFARGE-MARBLEHEAD "OSBORNE-CLEVELAND"</v>
      </c>
      <c r="X142" s="131" t="str">
        <f>+Plant_Information!$B$10</f>
        <v>04105-28</v>
      </c>
      <c r="Y142" s="131" t="str">
        <f>+Plant_Information!$B$11</f>
        <v>2100 CENTRAL FURNACE ROAD</v>
      </c>
      <c r="Z142" s="131" t="str">
        <f>+Plant_Information!$B$12</f>
        <v>CLEVELAND, OH, 44115</v>
      </c>
      <c r="AA142" s="131" t="str">
        <f>+Plant_Information!$B$13</f>
        <v>12</v>
      </c>
      <c r="AB142" s="131" t="str">
        <f>+Plant_Information!$B$14</f>
        <v>CUY</v>
      </c>
      <c r="AC142" s="70"/>
    </row>
    <row r="143" spans="17:29" x14ac:dyDescent="0.2">
      <c r="Q143" t="str">
        <f>Plant_Information!$B$6</f>
        <v>(INSERT VENDOR NAME HERE)</v>
      </c>
      <c r="R143" t="str">
        <f>'HAULING RATES- ODOT Locations'!$A$151</f>
        <v>District 8</v>
      </c>
      <c r="S143" t="str">
        <f>'HAULING RATES- ODOT Locations'!A169</f>
        <v>Warren</v>
      </c>
      <c r="T143" t="str">
        <f>'HAULING RATES- ODOT Locations'!B169</f>
        <v>Monroe OP, 6101 State Route 63, Lebanon, OH 45036</v>
      </c>
      <c r="U143" t="str">
        <f>'HAULING RATES- ODOT Locations'!C$8</f>
        <v>Stone</v>
      </c>
      <c r="V143" s="146">
        <f>'HAULING RATES- ODOT Locations'!C169</f>
        <v>0</v>
      </c>
      <c r="W143" s="131" t="str">
        <f>+'Aggregate, Plant Pick-up'!$C$6</f>
        <v>LAFARGE-MARBLEHEAD "OSBORNE-CLEVELAND"</v>
      </c>
      <c r="X143" s="131" t="str">
        <f>+Plant_Information!$B$10</f>
        <v>04105-28</v>
      </c>
      <c r="Y143" s="131" t="str">
        <f>+Plant_Information!$B$11</f>
        <v>2100 CENTRAL FURNACE ROAD</v>
      </c>
      <c r="Z143" s="131" t="str">
        <f>+Plant_Information!$B$12</f>
        <v>CLEVELAND, OH, 44115</v>
      </c>
      <c r="AA143" s="131" t="str">
        <f>+Plant_Information!$B$13</f>
        <v>12</v>
      </c>
      <c r="AB143" s="131" t="str">
        <f>+Plant_Information!$B$14</f>
        <v>CUY</v>
      </c>
      <c r="AC143" s="70"/>
    </row>
    <row r="144" spans="17:29" x14ac:dyDescent="0.2">
      <c r="Q144" t="str">
        <f>Plant_Information!$B$6</f>
        <v>(INSERT VENDOR NAME HERE)</v>
      </c>
      <c r="R144" t="str">
        <f>'HAULING RATES- ODOT Locations'!$A$151</f>
        <v>District 8</v>
      </c>
      <c r="S144" t="str">
        <f>'HAULING RATES- ODOT Locations'!A170</f>
        <v>Warren</v>
      </c>
      <c r="T144" t="str">
        <f>'HAULING RATES- ODOT Locations'!B170</f>
        <v>1790 Cornett Drive, Lebanon, OH 45036</v>
      </c>
      <c r="U144" t="str">
        <f>'HAULING RATES- ODOT Locations'!C$8</f>
        <v>Stone</v>
      </c>
      <c r="V144" s="146">
        <f>'HAULING RATES- ODOT Locations'!C170</f>
        <v>0</v>
      </c>
      <c r="W144" s="131" t="str">
        <f>+'Aggregate, Plant Pick-up'!$C$6</f>
        <v>LAFARGE-MARBLEHEAD "OSBORNE-CLEVELAND"</v>
      </c>
      <c r="X144" s="131" t="str">
        <f>+Plant_Information!$B$10</f>
        <v>04105-28</v>
      </c>
      <c r="Y144" s="131" t="str">
        <f>+Plant_Information!$B$11</f>
        <v>2100 CENTRAL FURNACE ROAD</v>
      </c>
      <c r="Z144" s="131" t="str">
        <f>+Plant_Information!$B$12</f>
        <v>CLEVELAND, OH, 44115</v>
      </c>
      <c r="AA144" s="131" t="str">
        <f>+Plant_Information!$B$13</f>
        <v>12</v>
      </c>
      <c r="AB144" s="131" t="str">
        <f>+Plant_Information!$B$14</f>
        <v>CUY</v>
      </c>
      <c r="AC144" s="70"/>
    </row>
    <row r="145" spans="17:29" x14ac:dyDescent="0.2">
      <c r="Q145" t="str">
        <f>Plant_Information!$B$6</f>
        <v>(INSERT VENDOR NAME HERE)</v>
      </c>
      <c r="R145" t="str">
        <f>'HAULING RATES- ODOT Locations'!$A$171</f>
        <v>District 9</v>
      </c>
      <c r="S145" t="str">
        <f>'HAULING RATES- ODOT Locations'!A174</f>
        <v>Adams</v>
      </c>
      <c r="T145" t="str">
        <f>'HAULING RATES- ODOT Locations'!B174</f>
        <v>1305 Measley Ridge Rd. Peebles, OH 45660</v>
      </c>
      <c r="U145" t="str">
        <f>'HAULING RATES- ODOT Locations'!C$8</f>
        <v>Stone</v>
      </c>
      <c r="V145" s="146">
        <f>'HAULING RATES- ODOT Locations'!C174</f>
        <v>0</v>
      </c>
      <c r="W145" s="131" t="str">
        <f>+'Aggregate, Plant Pick-up'!$C$6</f>
        <v>LAFARGE-MARBLEHEAD "OSBORNE-CLEVELAND"</v>
      </c>
      <c r="X145" s="131" t="str">
        <f>+Plant_Information!$B$10</f>
        <v>04105-28</v>
      </c>
      <c r="Y145" s="131" t="str">
        <f>+Plant_Information!$B$11</f>
        <v>2100 CENTRAL FURNACE ROAD</v>
      </c>
      <c r="Z145" s="131" t="str">
        <f>+Plant_Information!$B$12</f>
        <v>CLEVELAND, OH, 44115</v>
      </c>
      <c r="AA145" s="131" t="str">
        <f>+Plant_Information!$B$13</f>
        <v>12</v>
      </c>
      <c r="AB145" s="131" t="str">
        <f>+Plant_Information!$B$14</f>
        <v>CUY</v>
      </c>
      <c r="AC145" s="70"/>
    </row>
    <row r="146" spans="17:29" x14ac:dyDescent="0.2">
      <c r="Q146" t="str">
        <f>Plant_Information!$B$6</f>
        <v>(INSERT VENDOR NAME HERE)</v>
      </c>
      <c r="R146" t="str">
        <f>'HAULING RATES- ODOT Locations'!$A$171</f>
        <v>District 9</v>
      </c>
      <c r="S146" t="str">
        <f>'HAULING RATES- ODOT Locations'!A175</f>
        <v>Adams</v>
      </c>
      <c r="T146" t="str">
        <f>'HAULING RATES- ODOT Locations'!B175</f>
        <v>220 CIC Blvd., West Union, OH 45693</v>
      </c>
      <c r="U146" t="str">
        <f>'HAULING RATES- ODOT Locations'!C$8</f>
        <v>Stone</v>
      </c>
      <c r="V146" s="146">
        <f>'HAULING RATES- ODOT Locations'!C175</f>
        <v>0</v>
      </c>
      <c r="W146" s="131" t="str">
        <f>+'Aggregate, Plant Pick-up'!$C$6</f>
        <v>LAFARGE-MARBLEHEAD "OSBORNE-CLEVELAND"</v>
      </c>
      <c r="X146" s="131" t="str">
        <f>+Plant_Information!$B$10</f>
        <v>04105-28</v>
      </c>
      <c r="Y146" s="131" t="str">
        <f>+Plant_Information!$B$11</f>
        <v>2100 CENTRAL FURNACE ROAD</v>
      </c>
      <c r="Z146" s="131" t="str">
        <f>+Plant_Information!$B$12</f>
        <v>CLEVELAND, OH, 44115</v>
      </c>
      <c r="AA146" s="131" t="str">
        <f>+Plant_Information!$B$13</f>
        <v>12</v>
      </c>
      <c r="AB146" s="131" t="str">
        <f>+Plant_Information!$B$14</f>
        <v>CUY</v>
      </c>
      <c r="AC146" s="70"/>
    </row>
    <row r="147" spans="17:29" x14ac:dyDescent="0.2">
      <c r="Q147" t="str">
        <f>Plant_Information!$B$6</f>
        <v>(INSERT VENDOR NAME HERE)</v>
      </c>
      <c r="R147" t="str">
        <f>'HAULING RATES- ODOT Locations'!$A$171</f>
        <v>District 9</v>
      </c>
      <c r="S147" t="str">
        <f>'HAULING RATES- ODOT Locations'!A176</f>
        <v>Brown</v>
      </c>
      <c r="T147" t="str">
        <f>'HAULING RATES- ODOT Locations'!B176</f>
        <v>5124 S.R. 125 Georgetown, OH 45121</v>
      </c>
      <c r="U147" t="str">
        <f>'HAULING RATES- ODOT Locations'!C$8</f>
        <v>Stone</v>
      </c>
      <c r="V147" s="146">
        <f>'HAULING RATES- ODOT Locations'!C176</f>
        <v>0</v>
      </c>
      <c r="W147" s="131" t="str">
        <f>+'Aggregate, Plant Pick-up'!$C$6</f>
        <v>LAFARGE-MARBLEHEAD "OSBORNE-CLEVELAND"</v>
      </c>
      <c r="X147" s="131" t="str">
        <f>+Plant_Information!$B$10</f>
        <v>04105-28</v>
      </c>
      <c r="Y147" s="131" t="str">
        <f>+Plant_Information!$B$11</f>
        <v>2100 CENTRAL FURNACE ROAD</v>
      </c>
      <c r="Z147" s="131" t="str">
        <f>+Plant_Information!$B$12</f>
        <v>CLEVELAND, OH, 44115</v>
      </c>
      <c r="AA147" s="131" t="str">
        <f>+Plant_Information!$B$13</f>
        <v>12</v>
      </c>
      <c r="AB147" s="131" t="str">
        <f>+Plant_Information!$B$14</f>
        <v>CUY</v>
      </c>
      <c r="AC147" s="70"/>
    </row>
    <row r="148" spans="17:29" x14ac:dyDescent="0.2">
      <c r="Q148" t="str">
        <f>Plant_Information!$B$6</f>
        <v>(INSERT VENDOR NAME HERE)</v>
      </c>
      <c r="R148" t="str">
        <f>'HAULING RATES- ODOT Locations'!$A$171</f>
        <v>District 9</v>
      </c>
      <c r="S148" t="str">
        <f>'HAULING RATES- ODOT Locations'!A177</f>
        <v>Brown</v>
      </c>
      <c r="T148" t="str">
        <f>'HAULING RATES- ODOT Locations'!B177</f>
        <v>White Oak OP, 5033 Canyon Rd. Mount Orab, OH 45134</v>
      </c>
      <c r="U148" t="str">
        <f>'HAULING RATES- ODOT Locations'!C$8</f>
        <v>Stone</v>
      </c>
      <c r="V148" s="146">
        <f>'HAULING RATES- ODOT Locations'!C177</f>
        <v>0</v>
      </c>
      <c r="W148" s="131" t="str">
        <f>+'Aggregate, Plant Pick-up'!$C$6</f>
        <v>LAFARGE-MARBLEHEAD "OSBORNE-CLEVELAND"</v>
      </c>
      <c r="X148" s="131" t="str">
        <f>+Plant_Information!$B$10</f>
        <v>04105-28</v>
      </c>
      <c r="Y148" s="131" t="str">
        <f>+Plant_Information!$B$11</f>
        <v>2100 CENTRAL FURNACE ROAD</v>
      </c>
      <c r="Z148" s="131" t="str">
        <f>+Plant_Information!$B$12</f>
        <v>CLEVELAND, OH, 44115</v>
      </c>
      <c r="AA148" s="131" t="str">
        <f>+Plant_Information!$B$13</f>
        <v>12</v>
      </c>
      <c r="AB148" s="131" t="str">
        <f>+Plant_Information!$B$14</f>
        <v>CUY</v>
      </c>
      <c r="AC148" s="70"/>
    </row>
    <row r="149" spans="17:29" x14ac:dyDescent="0.2">
      <c r="Q149" t="str">
        <f>Plant_Information!$B$6</f>
        <v>(INSERT VENDOR NAME HERE)</v>
      </c>
      <c r="R149" t="str">
        <f>'HAULING RATES- ODOT Locations'!$A$171</f>
        <v>District 9</v>
      </c>
      <c r="S149" t="str">
        <f>'HAULING RATES- ODOT Locations'!A178</f>
        <v>Highland</v>
      </c>
      <c r="T149" t="str">
        <f>'HAULING RATES- ODOT Locations'!B178</f>
        <v>521 E Main St, Hillsboro, OH 45133</v>
      </c>
      <c r="U149" t="str">
        <f>'HAULING RATES- ODOT Locations'!C$8</f>
        <v>Stone</v>
      </c>
      <c r="V149" s="146">
        <f>'HAULING RATES- ODOT Locations'!C178</f>
        <v>0</v>
      </c>
      <c r="W149" s="131" t="str">
        <f>+'Aggregate, Plant Pick-up'!$C$6</f>
        <v>LAFARGE-MARBLEHEAD "OSBORNE-CLEVELAND"</v>
      </c>
      <c r="X149" s="131" t="str">
        <f>+Plant_Information!$B$10</f>
        <v>04105-28</v>
      </c>
      <c r="Y149" s="131" t="str">
        <f>+Plant_Information!$B$11</f>
        <v>2100 CENTRAL FURNACE ROAD</v>
      </c>
      <c r="Z149" s="131" t="str">
        <f>+Plant_Information!$B$12</f>
        <v>CLEVELAND, OH, 44115</v>
      </c>
      <c r="AA149" s="131" t="str">
        <f>+Plant_Information!$B$13</f>
        <v>12</v>
      </c>
      <c r="AB149" s="131" t="str">
        <f>+Plant_Information!$B$14</f>
        <v>CUY</v>
      </c>
      <c r="AC149" s="70"/>
    </row>
    <row r="150" spans="17:29" x14ac:dyDescent="0.2">
      <c r="Q150" t="str">
        <f>Plant_Information!$B$6</f>
        <v>(INSERT VENDOR NAME HERE)</v>
      </c>
      <c r="R150" t="str">
        <f>'HAULING RATES- ODOT Locations'!$A$171</f>
        <v>District 9</v>
      </c>
      <c r="S150" t="str">
        <f>'HAULING RATES- ODOT Locations'!A179</f>
        <v>Jackson</v>
      </c>
      <c r="T150" t="str">
        <f>'HAULING RATES- ODOT Locations'!B179</f>
        <v>2251 Rice Rd. Jackson, OH 45640</v>
      </c>
      <c r="U150" t="str">
        <f>'HAULING RATES- ODOT Locations'!C$8</f>
        <v>Stone</v>
      </c>
      <c r="V150" s="146">
        <f>'HAULING RATES- ODOT Locations'!C179</f>
        <v>0</v>
      </c>
      <c r="W150" s="131" t="str">
        <f>+'Aggregate, Plant Pick-up'!$C$6</f>
        <v>LAFARGE-MARBLEHEAD "OSBORNE-CLEVELAND"</v>
      </c>
      <c r="X150" s="131" t="str">
        <f>+Plant_Information!$B$10</f>
        <v>04105-28</v>
      </c>
      <c r="Y150" s="131" t="str">
        <f>+Plant_Information!$B$11</f>
        <v>2100 CENTRAL FURNACE ROAD</v>
      </c>
      <c r="Z150" s="131" t="str">
        <f>+Plant_Information!$B$12</f>
        <v>CLEVELAND, OH, 44115</v>
      </c>
      <c r="AA150" s="131" t="str">
        <f>+Plant_Information!$B$13</f>
        <v>12</v>
      </c>
      <c r="AB150" s="131" t="str">
        <f>+Plant_Information!$B$14</f>
        <v>CUY</v>
      </c>
      <c r="AC150" s="70"/>
    </row>
    <row r="151" spans="17:29" x14ac:dyDescent="0.2">
      <c r="Q151" t="str">
        <f>Plant_Information!$B$6</f>
        <v>(INSERT VENDOR NAME HERE)</v>
      </c>
      <c r="R151" t="str">
        <f>'HAULING RATES- ODOT Locations'!$A$171</f>
        <v>District 9</v>
      </c>
      <c r="S151" t="str">
        <f>'HAULING RATES- ODOT Locations'!A180</f>
        <v>Jackson</v>
      </c>
      <c r="T151" t="str">
        <f>'HAULING RATES- ODOT Locations'!B180</f>
        <v>13366 SR 279, Oak Hill, OH 45656</v>
      </c>
      <c r="U151" t="str">
        <f>'HAULING RATES- ODOT Locations'!C$8</f>
        <v>Stone</v>
      </c>
      <c r="V151" s="146">
        <f>'HAULING RATES- ODOT Locations'!C180</f>
        <v>0</v>
      </c>
      <c r="W151" s="131" t="str">
        <f>+'Aggregate, Plant Pick-up'!$C$6</f>
        <v>LAFARGE-MARBLEHEAD "OSBORNE-CLEVELAND"</v>
      </c>
      <c r="X151" s="131" t="str">
        <f>+Plant_Information!$B$10</f>
        <v>04105-28</v>
      </c>
      <c r="Y151" s="131" t="str">
        <f>+Plant_Information!$B$11</f>
        <v>2100 CENTRAL FURNACE ROAD</v>
      </c>
      <c r="Z151" s="131" t="str">
        <f>+Plant_Information!$B$12</f>
        <v>CLEVELAND, OH, 44115</v>
      </c>
      <c r="AA151" s="131" t="str">
        <f>+Plant_Information!$B$13</f>
        <v>12</v>
      </c>
      <c r="AB151" s="131" t="str">
        <f>+Plant_Information!$B$14</f>
        <v>CUY</v>
      </c>
      <c r="AC151" s="70"/>
    </row>
    <row r="152" spans="17:29" x14ac:dyDescent="0.2">
      <c r="Q152" t="str">
        <f>Plant_Information!$B$6</f>
        <v>(INSERT VENDOR NAME HERE)</v>
      </c>
      <c r="R152" t="str">
        <f>'HAULING RATES- ODOT Locations'!$A$171</f>
        <v>District 9</v>
      </c>
      <c r="S152" t="str">
        <f>'HAULING RATES- ODOT Locations'!A181</f>
        <v>Lawrence</v>
      </c>
      <c r="T152" t="str">
        <f>'HAULING RATES- ODOT Locations'!B181</f>
        <v>450 Commerce Drive Ironton, OH 45638</v>
      </c>
      <c r="U152" t="str">
        <f>'HAULING RATES- ODOT Locations'!C$8</f>
        <v>Stone</v>
      </c>
      <c r="V152" s="146">
        <f>'HAULING RATES- ODOT Locations'!C181</f>
        <v>0</v>
      </c>
      <c r="W152" s="131" t="str">
        <f>+'Aggregate, Plant Pick-up'!$C$6</f>
        <v>LAFARGE-MARBLEHEAD "OSBORNE-CLEVELAND"</v>
      </c>
      <c r="X152" s="131" t="str">
        <f>+Plant_Information!$B$10</f>
        <v>04105-28</v>
      </c>
      <c r="Y152" s="131" t="str">
        <f>+Plant_Information!$B$11</f>
        <v>2100 CENTRAL FURNACE ROAD</v>
      </c>
      <c r="Z152" s="131" t="str">
        <f>+Plant_Information!$B$12</f>
        <v>CLEVELAND, OH, 44115</v>
      </c>
      <c r="AA152" s="131" t="str">
        <f>+Plant_Information!$B$13</f>
        <v>12</v>
      </c>
      <c r="AB152" s="131" t="str">
        <f>+Plant_Information!$B$14</f>
        <v>CUY</v>
      </c>
      <c r="AC152" s="70"/>
    </row>
    <row r="153" spans="17:29" x14ac:dyDescent="0.2">
      <c r="Q153" t="str">
        <f>Plant_Information!$B$6</f>
        <v>(INSERT VENDOR NAME HERE)</v>
      </c>
      <c r="R153" t="str">
        <f>'HAULING RATES- ODOT Locations'!$A$171</f>
        <v>District 9</v>
      </c>
      <c r="S153" t="str">
        <f>'HAULING RATES- ODOT Locations'!A182</f>
        <v>Lawrence</v>
      </c>
      <c r="T153" t="str">
        <f>'HAULING RATES- ODOT Locations'!B182</f>
        <v>10332 S.R. 775 Proctorville, OH 45669</v>
      </c>
      <c r="U153" t="str">
        <f>'HAULING RATES- ODOT Locations'!C$8</f>
        <v>Stone</v>
      </c>
      <c r="V153" s="146">
        <f>'HAULING RATES- ODOT Locations'!C182</f>
        <v>0</v>
      </c>
      <c r="W153" s="131" t="str">
        <f>+'Aggregate, Plant Pick-up'!$C$6</f>
        <v>LAFARGE-MARBLEHEAD "OSBORNE-CLEVELAND"</v>
      </c>
      <c r="X153" s="131" t="str">
        <f>+Plant_Information!$B$10</f>
        <v>04105-28</v>
      </c>
      <c r="Y153" s="131" t="str">
        <f>+Plant_Information!$B$11</f>
        <v>2100 CENTRAL FURNACE ROAD</v>
      </c>
      <c r="Z153" s="131" t="str">
        <f>+Plant_Information!$B$12</f>
        <v>CLEVELAND, OH, 44115</v>
      </c>
      <c r="AA153" s="131" t="str">
        <f>+Plant_Information!$B$13</f>
        <v>12</v>
      </c>
      <c r="AB153" s="131" t="str">
        <f>+Plant_Information!$B$14</f>
        <v>CUY</v>
      </c>
      <c r="AC153" s="70"/>
    </row>
    <row r="154" spans="17:29" x14ac:dyDescent="0.2">
      <c r="Q154" t="str">
        <f>Plant_Information!$B$6</f>
        <v>(INSERT VENDOR NAME HERE)</v>
      </c>
      <c r="R154" t="str">
        <f>'HAULING RATES- ODOT Locations'!$A$171</f>
        <v>District 9</v>
      </c>
      <c r="S154" t="str">
        <f>'HAULING RATES- ODOT Locations'!A183</f>
        <v>Lawrence</v>
      </c>
      <c r="T154" t="str">
        <f>'HAULING RATES- ODOT Locations'!B183</f>
        <v>16979 S.R. 141 Willow Wood, OH 45696</v>
      </c>
      <c r="U154" t="str">
        <f>'HAULING RATES- ODOT Locations'!C$8</f>
        <v>Stone</v>
      </c>
      <c r="V154" s="146">
        <f>'HAULING RATES- ODOT Locations'!C183</f>
        <v>0</v>
      </c>
      <c r="W154" s="131" t="str">
        <f>+'Aggregate, Plant Pick-up'!$C$6</f>
        <v>LAFARGE-MARBLEHEAD "OSBORNE-CLEVELAND"</v>
      </c>
      <c r="X154" s="131" t="str">
        <f>+Plant_Information!$B$10</f>
        <v>04105-28</v>
      </c>
      <c r="Y154" s="131" t="str">
        <f>+Plant_Information!$B$11</f>
        <v>2100 CENTRAL FURNACE ROAD</v>
      </c>
      <c r="Z154" s="131" t="str">
        <f>+Plant_Information!$B$12</f>
        <v>CLEVELAND, OH, 44115</v>
      </c>
      <c r="AA154" s="131" t="str">
        <f>+Plant_Information!$B$13</f>
        <v>12</v>
      </c>
      <c r="AB154" s="131" t="str">
        <f>+Plant_Information!$B$14</f>
        <v>CUY</v>
      </c>
      <c r="AC154" s="70"/>
    </row>
    <row r="155" spans="17:29" x14ac:dyDescent="0.2">
      <c r="Q155" t="str">
        <f>Plant_Information!$B$6</f>
        <v>(INSERT VENDOR NAME HERE)</v>
      </c>
      <c r="R155" t="str">
        <f>'HAULING RATES- ODOT Locations'!$A$171</f>
        <v>District 9</v>
      </c>
      <c r="S155" t="str">
        <f>'HAULING RATES- ODOT Locations'!A184</f>
        <v>Pike</v>
      </c>
      <c r="T155" t="str">
        <f>'HAULING RATES- ODOT Locations'!B184</f>
        <v>5591 Wakefield Mound Rd. Piketon, OH 45661</v>
      </c>
      <c r="U155" t="str">
        <f>'HAULING RATES- ODOT Locations'!C$8</f>
        <v>Stone</v>
      </c>
      <c r="V155" s="146">
        <f>'HAULING RATES- ODOT Locations'!C184</f>
        <v>0</v>
      </c>
      <c r="W155" s="131" t="str">
        <f>+'Aggregate, Plant Pick-up'!$C$6</f>
        <v>LAFARGE-MARBLEHEAD "OSBORNE-CLEVELAND"</v>
      </c>
      <c r="X155" s="131" t="str">
        <f>+Plant_Information!$B$10</f>
        <v>04105-28</v>
      </c>
      <c r="Y155" s="131" t="str">
        <f>+Plant_Information!$B$11</f>
        <v>2100 CENTRAL FURNACE ROAD</v>
      </c>
      <c r="Z155" s="131" t="str">
        <f>+Plant_Information!$B$12</f>
        <v>CLEVELAND, OH, 44115</v>
      </c>
      <c r="AA155" s="131" t="str">
        <f>+Plant_Information!$B$13</f>
        <v>12</v>
      </c>
      <c r="AB155" s="131" t="str">
        <f>+Plant_Information!$B$14</f>
        <v>CUY</v>
      </c>
      <c r="AC155" s="70"/>
    </row>
    <row r="156" spans="17:29" x14ac:dyDescent="0.2">
      <c r="Q156" t="str">
        <f>Plant_Information!$B$6</f>
        <v>(INSERT VENDOR NAME HERE)</v>
      </c>
      <c r="R156" t="str">
        <f>'HAULING RATES- ODOT Locations'!$A$171</f>
        <v>District 9</v>
      </c>
      <c r="S156" t="str">
        <f>'HAULING RATES- ODOT Locations'!A185</f>
        <v>Ross</v>
      </c>
      <c r="T156" t="str">
        <f>'HAULING RATES- ODOT Locations'!B185</f>
        <v>255 Larrick Lane Chillicothe, OH 45601</v>
      </c>
      <c r="U156" t="str">
        <f>'HAULING RATES- ODOT Locations'!C$8</f>
        <v>Stone</v>
      </c>
      <c r="V156" s="146">
        <f>'HAULING RATES- ODOT Locations'!C185</f>
        <v>0</v>
      </c>
      <c r="W156" s="131" t="str">
        <f>+'Aggregate, Plant Pick-up'!$C$6</f>
        <v>LAFARGE-MARBLEHEAD "OSBORNE-CLEVELAND"</v>
      </c>
      <c r="X156" s="131" t="str">
        <f>+Plant_Information!$B$10</f>
        <v>04105-28</v>
      </c>
      <c r="Y156" s="131" t="str">
        <f>+Plant_Information!$B$11</f>
        <v>2100 CENTRAL FURNACE ROAD</v>
      </c>
      <c r="Z156" s="131" t="str">
        <f>+Plant_Information!$B$12</f>
        <v>CLEVELAND, OH, 44115</v>
      </c>
      <c r="AA156" s="131" t="str">
        <f>+Plant_Information!$B$13</f>
        <v>12</v>
      </c>
      <c r="AB156" s="131" t="str">
        <f>+Plant_Information!$B$14</f>
        <v>CUY</v>
      </c>
      <c r="AC156" s="70"/>
    </row>
    <row r="157" spans="17:29" x14ac:dyDescent="0.2">
      <c r="Q157" t="str">
        <f>Plant_Information!$B$6</f>
        <v>(INSERT VENDOR NAME HERE)</v>
      </c>
      <c r="R157" t="str">
        <f>'HAULING RATES- ODOT Locations'!$A$171</f>
        <v>District 9</v>
      </c>
      <c r="S157" t="str">
        <f>'HAULING RATES- ODOT Locations'!A186</f>
        <v>Scioto</v>
      </c>
      <c r="T157" t="str">
        <f>'HAULING RATES- ODOT Locations'!B186</f>
        <v>9187 U.S. 23 Lucasville, OH 45648</v>
      </c>
      <c r="U157" t="str">
        <f>'HAULING RATES- ODOT Locations'!C$8</f>
        <v>Stone</v>
      </c>
      <c r="V157" s="146">
        <f>'HAULING RATES- ODOT Locations'!C186</f>
        <v>0</v>
      </c>
      <c r="W157" s="131" t="str">
        <f>+'Aggregate, Plant Pick-up'!$C$6</f>
        <v>LAFARGE-MARBLEHEAD "OSBORNE-CLEVELAND"</v>
      </c>
      <c r="X157" s="131" t="str">
        <f>+Plant_Information!$B$10</f>
        <v>04105-28</v>
      </c>
      <c r="Y157" s="131" t="str">
        <f>+Plant_Information!$B$11</f>
        <v>2100 CENTRAL FURNACE ROAD</v>
      </c>
      <c r="Z157" s="131" t="str">
        <f>+Plant_Information!$B$12</f>
        <v>CLEVELAND, OH, 44115</v>
      </c>
      <c r="AA157" s="131" t="str">
        <f>+Plant_Information!$B$13</f>
        <v>12</v>
      </c>
      <c r="AB157" s="131" t="str">
        <f>+Plant_Information!$B$14</f>
        <v>CUY</v>
      </c>
      <c r="AC157" s="70"/>
    </row>
    <row r="158" spans="17:29" x14ac:dyDescent="0.2">
      <c r="Q158" t="str">
        <f>Plant_Information!$B$6</f>
        <v>(INSERT VENDOR NAME HERE)</v>
      </c>
      <c r="R158" t="str">
        <f>'HAULING RATES- ODOT Locations'!$A$171</f>
        <v>District 9</v>
      </c>
      <c r="S158" t="str">
        <f>'HAULING RATES- ODOT Locations'!A187</f>
        <v>Scioto</v>
      </c>
      <c r="T158" t="str">
        <f>'HAULING RATES- ODOT Locations'!B187</f>
        <v>14 Hayport Rd. Wheelersburg, OH 45694</v>
      </c>
      <c r="U158" t="str">
        <f>'HAULING RATES- ODOT Locations'!C$8</f>
        <v>Stone</v>
      </c>
      <c r="V158" s="146">
        <f>'HAULING RATES- ODOT Locations'!C187</f>
        <v>0</v>
      </c>
      <c r="W158" s="131" t="str">
        <f>+'Aggregate, Plant Pick-up'!$C$6</f>
        <v>LAFARGE-MARBLEHEAD "OSBORNE-CLEVELAND"</v>
      </c>
      <c r="X158" s="131" t="str">
        <f>+Plant_Information!$B$10</f>
        <v>04105-28</v>
      </c>
      <c r="Y158" s="131" t="str">
        <f>+Plant_Information!$B$11</f>
        <v>2100 CENTRAL FURNACE ROAD</v>
      </c>
      <c r="Z158" s="131" t="str">
        <f>+Plant_Information!$B$12</f>
        <v>CLEVELAND, OH, 44115</v>
      </c>
      <c r="AA158" s="131" t="str">
        <f>+Plant_Information!$B$13</f>
        <v>12</v>
      </c>
      <c r="AB158" s="131" t="str">
        <f>+Plant_Information!$B$14</f>
        <v>CUY</v>
      </c>
      <c r="AC158" s="70"/>
    </row>
    <row r="159" spans="17:29" x14ac:dyDescent="0.2">
      <c r="Q159" t="str">
        <f>Plant_Information!$B$6</f>
        <v>(INSERT VENDOR NAME HERE)</v>
      </c>
      <c r="R159" t="str">
        <f>'HAULING RATES- ODOT Locations'!$A$188</f>
        <v>District 10</v>
      </c>
      <c r="S159" t="str">
        <f>'HAULING RATES- ODOT Locations'!A191</f>
        <v>Athens</v>
      </c>
      <c r="T159" t="str">
        <f>'HAULING RATES- ODOT Locations'!B191</f>
        <v>700 West Union St. (SR 56), Athens, OH 45701</v>
      </c>
      <c r="U159" t="str">
        <f>'HAULING RATES- ODOT Locations'!C$8</f>
        <v>Stone</v>
      </c>
      <c r="V159" s="146">
        <f>'HAULING RATES- ODOT Locations'!C191</f>
        <v>0</v>
      </c>
      <c r="W159" s="131" t="str">
        <f>+'Aggregate, Plant Pick-up'!$C$6</f>
        <v>LAFARGE-MARBLEHEAD "OSBORNE-CLEVELAND"</v>
      </c>
      <c r="X159" s="131" t="str">
        <f>+Plant_Information!$B$10</f>
        <v>04105-28</v>
      </c>
      <c r="Y159" s="131" t="str">
        <f>+Plant_Information!$B$11</f>
        <v>2100 CENTRAL FURNACE ROAD</v>
      </c>
      <c r="Z159" s="131" t="str">
        <f>+Plant_Information!$B$12</f>
        <v>CLEVELAND, OH, 44115</v>
      </c>
      <c r="AA159" s="131" t="str">
        <f>+Plant_Information!$B$13</f>
        <v>12</v>
      </c>
      <c r="AB159" s="131" t="str">
        <f>+Plant_Information!$B$14</f>
        <v>CUY</v>
      </c>
      <c r="AC159" s="70"/>
    </row>
    <row r="160" spans="17:29" x14ac:dyDescent="0.2">
      <c r="Q160" t="str">
        <f>Plant_Information!$B$6</f>
        <v>(INSERT VENDOR NAME HERE)</v>
      </c>
      <c r="R160" t="str">
        <f>'HAULING RATES- ODOT Locations'!$A$188</f>
        <v>District 10</v>
      </c>
      <c r="S160" t="str">
        <f>'HAULING RATES- ODOT Locations'!A192</f>
        <v>Athens</v>
      </c>
      <c r="T160" t="str">
        <f>'HAULING RATES- ODOT Locations'!B192</f>
        <v>8411 State Route 78, Glouster, OH 45732</v>
      </c>
      <c r="U160" t="str">
        <f>'HAULING RATES- ODOT Locations'!C$8</f>
        <v>Stone</v>
      </c>
      <c r="V160" s="146">
        <f>'HAULING RATES- ODOT Locations'!C192</f>
        <v>0</v>
      </c>
      <c r="W160" s="131" t="str">
        <f>+'Aggregate, Plant Pick-up'!$C$6</f>
        <v>LAFARGE-MARBLEHEAD "OSBORNE-CLEVELAND"</v>
      </c>
      <c r="X160" s="131" t="str">
        <f>+Plant_Information!$B$10</f>
        <v>04105-28</v>
      </c>
      <c r="Y160" s="131" t="str">
        <f>+Plant_Information!$B$11</f>
        <v>2100 CENTRAL FURNACE ROAD</v>
      </c>
      <c r="Z160" s="131" t="str">
        <f>+Plant_Information!$B$12</f>
        <v>CLEVELAND, OH, 44115</v>
      </c>
      <c r="AA160" s="131" t="str">
        <f>+Plant_Information!$B$13</f>
        <v>12</v>
      </c>
      <c r="AB160" s="131" t="str">
        <f>+Plant_Information!$B$14</f>
        <v>CUY</v>
      </c>
      <c r="AC160" s="70"/>
    </row>
    <row r="161" spans="17:29" x14ac:dyDescent="0.2">
      <c r="Q161" t="str">
        <f>Plant_Information!$B$6</f>
        <v>(INSERT VENDOR NAME HERE)</v>
      </c>
      <c r="R161" t="str">
        <f>'HAULING RATES- ODOT Locations'!$A$188</f>
        <v>District 10</v>
      </c>
      <c r="S161" t="str">
        <f>'HAULING RATES- ODOT Locations'!A193</f>
        <v>Gallia</v>
      </c>
      <c r="T161" t="str">
        <f>'HAULING RATES- ODOT Locations'!B193</f>
        <v>2397 Jackson Pike (Jct. US 35 &amp; SR 160), Bidwell, OH 45614</v>
      </c>
      <c r="U161" t="str">
        <f>'HAULING RATES- ODOT Locations'!C$8</f>
        <v>Stone</v>
      </c>
      <c r="V161" s="146">
        <f>'HAULING RATES- ODOT Locations'!C193</f>
        <v>0</v>
      </c>
      <c r="W161" s="131" t="str">
        <f>+'Aggregate, Plant Pick-up'!$C$6</f>
        <v>LAFARGE-MARBLEHEAD "OSBORNE-CLEVELAND"</v>
      </c>
      <c r="X161" s="131" t="str">
        <f>+Plant_Information!$B$10</f>
        <v>04105-28</v>
      </c>
      <c r="Y161" s="131" t="str">
        <f>+Plant_Information!$B$11</f>
        <v>2100 CENTRAL FURNACE ROAD</v>
      </c>
      <c r="Z161" s="131" t="str">
        <f>+Plant_Information!$B$12</f>
        <v>CLEVELAND, OH, 44115</v>
      </c>
      <c r="AA161" s="131" t="str">
        <f>+Plant_Information!$B$13</f>
        <v>12</v>
      </c>
      <c r="AB161" s="131" t="str">
        <f>+Plant_Information!$B$14</f>
        <v>CUY</v>
      </c>
      <c r="AC161" s="70"/>
    </row>
    <row r="162" spans="17:29" x14ac:dyDescent="0.2">
      <c r="Q162" t="str">
        <f>Plant_Information!$B$6</f>
        <v>(INSERT VENDOR NAME HERE)</v>
      </c>
      <c r="R162" t="str">
        <f>'HAULING RATES- ODOT Locations'!$A$188</f>
        <v>District 10</v>
      </c>
      <c r="S162" t="str">
        <f>'HAULING RATES- ODOT Locations'!A194</f>
        <v>Hocking</v>
      </c>
      <c r="T162" t="str">
        <f>'HAULING RATES- ODOT Locations'!B194</f>
        <v>13176 State Route 664 South, Logan, OH 43138</v>
      </c>
      <c r="U162" t="str">
        <f>'HAULING RATES- ODOT Locations'!C$8</f>
        <v>Stone</v>
      </c>
      <c r="V162" s="146">
        <f>'HAULING RATES- ODOT Locations'!C194</f>
        <v>0</v>
      </c>
      <c r="W162" s="131" t="str">
        <f>+'Aggregate, Plant Pick-up'!$C$6</f>
        <v>LAFARGE-MARBLEHEAD "OSBORNE-CLEVELAND"</v>
      </c>
      <c r="X162" s="131" t="str">
        <f>+Plant_Information!$B$10</f>
        <v>04105-28</v>
      </c>
      <c r="Y162" s="131" t="str">
        <f>+Plant_Information!$B$11</f>
        <v>2100 CENTRAL FURNACE ROAD</v>
      </c>
      <c r="Z162" s="131" t="str">
        <f>+Plant_Information!$B$12</f>
        <v>CLEVELAND, OH, 44115</v>
      </c>
      <c r="AA162" s="131" t="str">
        <f>+Plant_Information!$B$13</f>
        <v>12</v>
      </c>
      <c r="AB162" s="131" t="str">
        <f>+Plant_Information!$B$14</f>
        <v>CUY</v>
      </c>
      <c r="AC162" s="70"/>
    </row>
    <row r="163" spans="17:29" x14ac:dyDescent="0.2">
      <c r="Q163" t="str">
        <f>Plant_Information!$B$6</f>
        <v>(INSERT VENDOR NAME HERE)</v>
      </c>
      <c r="R163" t="str">
        <f>'HAULING RATES- ODOT Locations'!$A$188</f>
        <v>District 10</v>
      </c>
      <c r="S163" t="str">
        <f>'HAULING RATES- ODOT Locations'!A195</f>
        <v>Hocking</v>
      </c>
      <c r="T163" t="str">
        <f>'HAULING RATES- ODOT Locations'!B195</f>
        <v>Laurelville OP, 16298 Pike Street, Laurelville, OH 43135</v>
      </c>
      <c r="U163" t="str">
        <f>'HAULING RATES- ODOT Locations'!C$8</f>
        <v>Stone</v>
      </c>
      <c r="V163" s="146">
        <f>'HAULING RATES- ODOT Locations'!C195</f>
        <v>0</v>
      </c>
      <c r="W163" s="131" t="str">
        <f>+'Aggregate, Plant Pick-up'!$C$6</f>
        <v>LAFARGE-MARBLEHEAD "OSBORNE-CLEVELAND"</v>
      </c>
      <c r="X163" s="131" t="str">
        <f>+Plant_Information!$B$10</f>
        <v>04105-28</v>
      </c>
      <c r="Y163" s="131" t="str">
        <f>+Plant_Information!$B$11</f>
        <v>2100 CENTRAL FURNACE ROAD</v>
      </c>
      <c r="Z163" s="131" t="str">
        <f>+Plant_Information!$B$12</f>
        <v>CLEVELAND, OH, 44115</v>
      </c>
      <c r="AA163" s="131" t="str">
        <f>+Plant_Information!$B$13</f>
        <v>12</v>
      </c>
      <c r="AB163" s="131" t="str">
        <f>+Plant_Information!$B$14</f>
        <v>CUY</v>
      </c>
      <c r="AC163" s="70"/>
    </row>
    <row r="164" spans="17:29" x14ac:dyDescent="0.2">
      <c r="Q164" t="str">
        <f>Plant_Information!$B$6</f>
        <v>(INSERT VENDOR NAME HERE)</v>
      </c>
      <c r="R164" t="str">
        <f>'HAULING RATES- ODOT Locations'!$A$188</f>
        <v>District 10</v>
      </c>
      <c r="S164" t="str">
        <f>'HAULING RATES- ODOT Locations'!A196</f>
        <v>Meigs</v>
      </c>
      <c r="T164" t="str">
        <f>'HAULING RATES- ODOT Locations'!B196</f>
        <v>Tuppers Plains OP, 42875 State Route 7, Coolville, OH 45723</v>
      </c>
      <c r="U164" t="str">
        <f>'HAULING RATES- ODOT Locations'!C$8</f>
        <v>Stone</v>
      </c>
      <c r="V164" s="146">
        <f>'HAULING RATES- ODOT Locations'!C196</f>
        <v>0</v>
      </c>
      <c r="W164" s="131" t="str">
        <f>+'Aggregate, Plant Pick-up'!$C$6</f>
        <v>LAFARGE-MARBLEHEAD "OSBORNE-CLEVELAND"</v>
      </c>
      <c r="X164" s="131" t="str">
        <f>+Plant_Information!$B$10</f>
        <v>04105-28</v>
      </c>
      <c r="Y164" s="131" t="str">
        <f>+Plant_Information!$B$11</f>
        <v>2100 CENTRAL FURNACE ROAD</v>
      </c>
      <c r="Z164" s="131" t="str">
        <f>+Plant_Information!$B$12</f>
        <v>CLEVELAND, OH, 44115</v>
      </c>
      <c r="AA164" s="131" t="str">
        <f>+Plant_Information!$B$13</f>
        <v>12</v>
      </c>
      <c r="AB164" s="131" t="str">
        <f>+Plant_Information!$B$14</f>
        <v>CUY</v>
      </c>
      <c r="AC164" s="70"/>
    </row>
    <row r="165" spans="17:29" x14ac:dyDescent="0.2">
      <c r="Q165" t="str">
        <f>Plant_Information!$B$6</f>
        <v>(INSERT VENDOR NAME HERE)</v>
      </c>
      <c r="R165" t="str">
        <f>'HAULING RATES- ODOT Locations'!$A$188</f>
        <v>District 10</v>
      </c>
      <c r="S165" t="str">
        <f>'HAULING RATES- ODOT Locations'!A197</f>
        <v>Meigs</v>
      </c>
      <c r="T165" t="str">
        <f>'HAULING RATES- ODOT Locations'!B197</f>
        <v>34449 SR 7, Pomeroy, OH 45769</v>
      </c>
      <c r="U165" t="str">
        <f>'HAULING RATES- ODOT Locations'!C$8</f>
        <v>Stone</v>
      </c>
      <c r="V165" s="146">
        <f>'HAULING RATES- ODOT Locations'!C197</f>
        <v>0</v>
      </c>
      <c r="W165" s="131" t="str">
        <f>+'Aggregate, Plant Pick-up'!$C$6</f>
        <v>LAFARGE-MARBLEHEAD "OSBORNE-CLEVELAND"</v>
      </c>
      <c r="X165" s="131" t="str">
        <f>+Plant_Information!$B$10</f>
        <v>04105-28</v>
      </c>
      <c r="Y165" s="131" t="str">
        <f>+Plant_Information!$B$11</f>
        <v>2100 CENTRAL FURNACE ROAD</v>
      </c>
      <c r="Z165" s="131" t="str">
        <f>+Plant_Information!$B$12</f>
        <v>CLEVELAND, OH, 44115</v>
      </c>
      <c r="AA165" s="131" t="str">
        <f>+Plant_Information!$B$13</f>
        <v>12</v>
      </c>
      <c r="AB165" s="131" t="str">
        <f>+Plant_Information!$B$14</f>
        <v>CUY</v>
      </c>
      <c r="AC165" s="70"/>
    </row>
    <row r="166" spans="17:29" x14ac:dyDescent="0.2">
      <c r="Q166" t="str">
        <f>Plant_Information!$B$6</f>
        <v>(INSERT VENDOR NAME HERE)</v>
      </c>
      <c r="R166" t="str">
        <f>'HAULING RATES- ODOT Locations'!$A$188</f>
        <v>District 10</v>
      </c>
      <c r="S166" t="str">
        <f>'HAULING RATES- ODOT Locations'!A198</f>
        <v>Monroe</v>
      </c>
      <c r="T166" t="str">
        <f>'HAULING RATES- ODOT Locations'!B198</f>
        <v>38986 State Route 7, Sardis, OH 43946</v>
      </c>
      <c r="U166" t="str">
        <f>'HAULING RATES- ODOT Locations'!C$8</f>
        <v>Stone</v>
      </c>
      <c r="V166" s="146">
        <f>'HAULING RATES- ODOT Locations'!C198</f>
        <v>0</v>
      </c>
      <c r="W166" s="131" t="str">
        <f>+'Aggregate, Plant Pick-up'!$C$6</f>
        <v>LAFARGE-MARBLEHEAD "OSBORNE-CLEVELAND"</v>
      </c>
      <c r="X166" s="131" t="str">
        <f>+Plant_Information!$B$10</f>
        <v>04105-28</v>
      </c>
      <c r="Y166" s="131" t="str">
        <f>+Plant_Information!$B$11</f>
        <v>2100 CENTRAL FURNACE ROAD</v>
      </c>
      <c r="Z166" s="131" t="str">
        <f>+Plant_Information!$B$12</f>
        <v>CLEVELAND, OH, 44115</v>
      </c>
      <c r="AA166" s="131" t="str">
        <f>+Plant_Information!$B$13</f>
        <v>12</v>
      </c>
      <c r="AB166" s="131" t="str">
        <f>+Plant_Information!$B$14</f>
        <v>CUY</v>
      </c>
      <c r="AC166" s="70"/>
    </row>
    <row r="167" spans="17:29" x14ac:dyDescent="0.2">
      <c r="Q167" t="str">
        <f>Plant_Information!$B$6</f>
        <v>(INSERT VENDOR NAME HERE)</v>
      </c>
      <c r="R167" t="str">
        <f>'HAULING RATES- ODOT Locations'!$A$188</f>
        <v>District 10</v>
      </c>
      <c r="S167" t="str">
        <f>'HAULING RATES- ODOT Locations'!A199</f>
        <v>Monroe</v>
      </c>
      <c r="T167" t="str">
        <f>'HAULING RATES- ODOT Locations'!B199</f>
        <v>47028 SR 26, Woodsfield, OH 43793</v>
      </c>
      <c r="U167" t="str">
        <f>'HAULING RATES- ODOT Locations'!C$8</f>
        <v>Stone</v>
      </c>
      <c r="V167" s="146">
        <f>'HAULING RATES- ODOT Locations'!C199</f>
        <v>0</v>
      </c>
      <c r="W167" s="131" t="str">
        <f>+'Aggregate, Plant Pick-up'!$C$6</f>
        <v>LAFARGE-MARBLEHEAD "OSBORNE-CLEVELAND"</v>
      </c>
      <c r="X167" s="131" t="str">
        <f>+Plant_Information!$B$10</f>
        <v>04105-28</v>
      </c>
      <c r="Y167" s="131" t="str">
        <f>+Plant_Information!$B$11</f>
        <v>2100 CENTRAL FURNACE ROAD</v>
      </c>
      <c r="Z167" s="131" t="str">
        <f>+Plant_Information!$B$12</f>
        <v>CLEVELAND, OH, 44115</v>
      </c>
      <c r="AA167" s="131" t="str">
        <f>+Plant_Information!$B$13</f>
        <v>12</v>
      </c>
      <c r="AB167" s="131" t="str">
        <f>+Plant_Information!$B$14</f>
        <v>CUY</v>
      </c>
      <c r="AC167" s="70"/>
    </row>
    <row r="168" spans="17:29" x14ac:dyDescent="0.2">
      <c r="Q168" t="str">
        <f>Plant_Information!$B$6</f>
        <v>(INSERT VENDOR NAME HERE)</v>
      </c>
      <c r="R168" t="str">
        <f>'HAULING RATES- ODOT Locations'!$A$188</f>
        <v>District 10</v>
      </c>
      <c r="S168" t="str">
        <f>'HAULING RATES- ODOT Locations'!A200</f>
        <v>Morgan</v>
      </c>
      <c r="T168" t="str">
        <f>'HAULING RATES- ODOT Locations'!B200</f>
        <v>4205 Monastery Rd., McConnelsville, OH 43756</v>
      </c>
      <c r="U168" t="str">
        <f>'HAULING RATES- ODOT Locations'!C$8</f>
        <v>Stone</v>
      </c>
      <c r="V168" s="146">
        <f>'HAULING RATES- ODOT Locations'!C200</f>
        <v>0</v>
      </c>
      <c r="W168" s="131" t="str">
        <f>+'Aggregate, Plant Pick-up'!$C$6</f>
        <v>LAFARGE-MARBLEHEAD "OSBORNE-CLEVELAND"</v>
      </c>
      <c r="X168" s="131" t="str">
        <f>+Plant_Information!$B$10</f>
        <v>04105-28</v>
      </c>
      <c r="Y168" s="131" t="str">
        <f>+Plant_Information!$B$11</f>
        <v>2100 CENTRAL FURNACE ROAD</v>
      </c>
      <c r="Z168" s="131" t="str">
        <f>+Plant_Information!$B$12</f>
        <v>CLEVELAND, OH, 44115</v>
      </c>
      <c r="AA168" s="131" t="str">
        <f>+Plant_Information!$B$13</f>
        <v>12</v>
      </c>
      <c r="AB168" s="131" t="str">
        <f>+Plant_Information!$B$14</f>
        <v>CUY</v>
      </c>
      <c r="AC168" s="70"/>
    </row>
    <row r="169" spans="17:29" x14ac:dyDescent="0.2">
      <c r="Q169" t="str">
        <f>Plant_Information!$B$6</f>
        <v>(INSERT VENDOR NAME HERE)</v>
      </c>
      <c r="R169" t="str">
        <f>'HAULING RATES- ODOT Locations'!$A$188</f>
        <v>District 10</v>
      </c>
      <c r="S169" t="str">
        <f>'HAULING RATES- ODOT Locations'!A201</f>
        <v>Noble</v>
      </c>
      <c r="T169" t="str">
        <f>'HAULING RATES- ODOT Locations'!B201</f>
        <v>17229 Hunkadora Road, Caldwell, OH 43724</v>
      </c>
      <c r="U169" t="str">
        <f>'HAULING RATES- ODOT Locations'!C$8</f>
        <v>Stone</v>
      </c>
      <c r="V169" s="146">
        <f>'HAULING RATES- ODOT Locations'!C201</f>
        <v>0</v>
      </c>
      <c r="W169" s="131" t="str">
        <f>+'Aggregate, Plant Pick-up'!$C$6</f>
        <v>LAFARGE-MARBLEHEAD "OSBORNE-CLEVELAND"</v>
      </c>
      <c r="X169" s="131" t="str">
        <f>+Plant_Information!$B$10</f>
        <v>04105-28</v>
      </c>
      <c r="Y169" s="131" t="str">
        <f>+Plant_Information!$B$11</f>
        <v>2100 CENTRAL FURNACE ROAD</v>
      </c>
      <c r="Z169" s="131" t="str">
        <f>+Plant_Information!$B$12</f>
        <v>CLEVELAND, OH, 44115</v>
      </c>
      <c r="AA169" s="131" t="str">
        <f>+Plant_Information!$B$13</f>
        <v>12</v>
      </c>
      <c r="AB169" s="131" t="str">
        <f>+Plant_Information!$B$14</f>
        <v>CUY</v>
      </c>
      <c r="AC169" s="70"/>
    </row>
    <row r="170" spans="17:29" x14ac:dyDescent="0.2">
      <c r="Q170" t="str">
        <f>Plant_Information!$B$6</f>
        <v>(INSERT VENDOR NAME HERE)</v>
      </c>
      <c r="R170" t="str">
        <f>'HAULING RATES- ODOT Locations'!$A$188</f>
        <v>District 10</v>
      </c>
      <c r="S170" t="str">
        <f>'HAULING RATES- ODOT Locations'!A202</f>
        <v>Noble</v>
      </c>
      <c r="T170" t="str">
        <f>'HAULING RATES- ODOT Locations'!B202</f>
        <v>48030 Outpost Road, Caldwell, OH 43724</v>
      </c>
      <c r="U170" t="str">
        <f>'HAULING RATES- ODOT Locations'!C$8</f>
        <v>Stone</v>
      </c>
      <c r="V170" s="146">
        <f>'HAULING RATES- ODOT Locations'!C202</f>
        <v>0</v>
      </c>
      <c r="W170" s="131" t="str">
        <f>+'Aggregate, Plant Pick-up'!$C$6</f>
        <v>LAFARGE-MARBLEHEAD "OSBORNE-CLEVELAND"</v>
      </c>
      <c r="X170" s="131" t="str">
        <f>+Plant_Information!$B$10</f>
        <v>04105-28</v>
      </c>
      <c r="Y170" s="131" t="str">
        <f>+Plant_Information!$B$11</f>
        <v>2100 CENTRAL FURNACE ROAD</v>
      </c>
      <c r="Z170" s="131" t="str">
        <f>+Plant_Information!$B$12</f>
        <v>CLEVELAND, OH, 44115</v>
      </c>
      <c r="AA170" s="131" t="str">
        <f>+Plant_Information!$B$13</f>
        <v>12</v>
      </c>
      <c r="AB170" s="131" t="str">
        <f>+Plant_Information!$B$14</f>
        <v>CUY</v>
      </c>
      <c r="AC170" s="70"/>
    </row>
    <row r="171" spans="17:29" x14ac:dyDescent="0.2">
      <c r="Q171" t="str">
        <f>Plant_Information!$B$6</f>
        <v>(INSERT VENDOR NAME HERE)</v>
      </c>
      <c r="R171" t="str">
        <f>'HAULING RATES- ODOT Locations'!$A$188</f>
        <v>District 10</v>
      </c>
      <c r="S171" t="str">
        <f>'HAULING RATES- ODOT Locations'!A203</f>
        <v>Vinton</v>
      </c>
      <c r="T171" t="str">
        <f>'HAULING RATES- ODOT Locations'!B203</f>
        <v>30931 State Route 93, McArthur, OH 45651</v>
      </c>
      <c r="U171" t="str">
        <f>'HAULING RATES- ODOT Locations'!C$8</f>
        <v>Stone</v>
      </c>
      <c r="V171" s="146">
        <f>'HAULING RATES- ODOT Locations'!C203</f>
        <v>0</v>
      </c>
      <c r="W171" s="131" t="str">
        <f>+'Aggregate, Plant Pick-up'!$C$6</f>
        <v>LAFARGE-MARBLEHEAD "OSBORNE-CLEVELAND"</v>
      </c>
      <c r="X171" s="131" t="str">
        <f>+Plant_Information!$B$10</f>
        <v>04105-28</v>
      </c>
      <c r="Y171" s="131" t="str">
        <f>+Plant_Information!$B$11</f>
        <v>2100 CENTRAL FURNACE ROAD</v>
      </c>
      <c r="Z171" s="131" t="str">
        <f>+Plant_Information!$B$12</f>
        <v>CLEVELAND, OH, 44115</v>
      </c>
      <c r="AA171" s="131" t="str">
        <f>+Plant_Information!$B$13</f>
        <v>12</v>
      </c>
      <c r="AB171" s="131" t="str">
        <f>+Plant_Information!$B$14</f>
        <v>CUY</v>
      </c>
      <c r="AC171" s="70"/>
    </row>
    <row r="172" spans="17:29" x14ac:dyDescent="0.2">
      <c r="Q172" t="str">
        <f>Plant_Information!$B$6</f>
        <v>(INSERT VENDOR NAME HERE)</v>
      </c>
      <c r="R172" t="str">
        <f>'HAULING RATES- ODOT Locations'!$A$188</f>
        <v>District 10</v>
      </c>
      <c r="S172" t="str">
        <f>'HAULING RATES- ODOT Locations'!A204</f>
        <v>Vinton</v>
      </c>
      <c r="T172" t="str">
        <f>'HAULING RATES- ODOT Locations'!B204</f>
        <v>43140 State Route 160, Wilkesville, OH 45695</v>
      </c>
      <c r="U172" t="str">
        <f>'HAULING RATES- ODOT Locations'!C$8</f>
        <v>Stone</v>
      </c>
      <c r="V172" s="146">
        <f>'HAULING RATES- ODOT Locations'!C204</f>
        <v>0</v>
      </c>
      <c r="W172" s="131" t="str">
        <f>+'Aggregate, Plant Pick-up'!$C$6</f>
        <v>LAFARGE-MARBLEHEAD "OSBORNE-CLEVELAND"</v>
      </c>
      <c r="X172" s="131" t="str">
        <f>+Plant_Information!$B$10</f>
        <v>04105-28</v>
      </c>
      <c r="Y172" s="131" t="str">
        <f>+Plant_Information!$B$11</f>
        <v>2100 CENTRAL FURNACE ROAD</v>
      </c>
      <c r="Z172" s="131" t="str">
        <f>+Plant_Information!$B$12</f>
        <v>CLEVELAND, OH, 44115</v>
      </c>
      <c r="AA172" s="131" t="str">
        <f>+Plant_Information!$B$13</f>
        <v>12</v>
      </c>
      <c r="AB172" s="131" t="str">
        <f>+Plant_Information!$B$14</f>
        <v>CUY</v>
      </c>
      <c r="AC172" s="70"/>
    </row>
    <row r="173" spans="17:29" x14ac:dyDescent="0.2">
      <c r="Q173" t="str">
        <f>Plant_Information!$B$6</f>
        <v>(INSERT VENDOR NAME HERE)</v>
      </c>
      <c r="R173" t="str">
        <f>'HAULING RATES- ODOT Locations'!$A$188</f>
        <v>District 10</v>
      </c>
      <c r="S173" t="str">
        <f>'HAULING RATES- ODOT Locations'!A205</f>
        <v>Washington</v>
      </c>
      <c r="T173" t="str">
        <f>'HAULING RATES- ODOT Locations'!B205</f>
        <v>1650 Greene St. (SR 26), Marietta, OH 45750</v>
      </c>
      <c r="U173" t="str">
        <f>'HAULING RATES- ODOT Locations'!C$8</f>
        <v>Stone</v>
      </c>
      <c r="V173" s="146">
        <f>'HAULING RATES- ODOT Locations'!C205</f>
        <v>0</v>
      </c>
      <c r="W173" s="131" t="str">
        <f>+'Aggregate, Plant Pick-up'!$C$6</f>
        <v>LAFARGE-MARBLEHEAD "OSBORNE-CLEVELAND"</v>
      </c>
      <c r="X173" s="131" t="str">
        <f>+Plant_Information!$B$10</f>
        <v>04105-28</v>
      </c>
      <c r="Y173" s="131" t="str">
        <f>+Plant_Information!$B$11</f>
        <v>2100 CENTRAL FURNACE ROAD</v>
      </c>
      <c r="Z173" s="131" t="str">
        <f>+Plant_Information!$B$12</f>
        <v>CLEVELAND, OH, 44115</v>
      </c>
      <c r="AA173" s="131" t="str">
        <f>+Plant_Information!$B$13</f>
        <v>12</v>
      </c>
      <c r="AB173" s="131" t="str">
        <f>+Plant_Information!$B$14</f>
        <v>CUY</v>
      </c>
      <c r="AC173" s="70"/>
    </row>
    <row r="174" spans="17:29" x14ac:dyDescent="0.2">
      <c r="Q174" t="str">
        <f>Plant_Information!$B$6</f>
        <v>(INSERT VENDOR NAME HERE)</v>
      </c>
      <c r="R174" t="str">
        <f>'HAULING RATES- ODOT Locations'!$A$188</f>
        <v>District 10</v>
      </c>
      <c r="S174" t="str">
        <f>'HAULING RATES- ODOT Locations'!A206</f>
        <v>Washington</v>
      </c>
      <c r="T174" t="str">
        <f>'HAULING RATES- ODOT Locations'!B206</f>
        <v>2504 SR 550, Cutler, OH 45724</v>
      </c>
      <c r="U174" t="str">
        <f>'HAULING RATES- ODOT Locations'!C$8</f>
        <v>Stone</v>
      </c>
      <c r="V174" s="146">
        <f>'HAULING RATES- ODOT Locations'!C206</f>
        <v>0</v>
      </c>
      <c r="W174" s="131" t="str">
        <f>+'Aggregate, Plant Pick-up'!$C$6</f>
        <v>LAFARGE-MARBLEHEAD "OSBORNE-CLEVELAND"</v>
      </c>
      <c r="X174" s="131" t="str">
        <f>+Plant_Information!$B$10</f>
        <v>04105-28</v>
      </c>
      <c r="Y174" s="131" t="str">
        <f>+Plant_Information!$B$11</f>
        <v>2100 CENTRAL FURNACE ROAD</v>
      </c>
      <c r="Z174" s="131" t="str">
        <f>+Plant_Information!$B$12</f>
        <v>CLEVELAND, OH, 44115</v>
      </c>
      <c r="AA174" s="131" t="str">
        <f>+Plant_Information!$B$13</f>
        <v>12</v>
      </c>
      <c r="AB174" s="131" t="str">
        <f>+Plant_Information!$B$14</f>
        <v>CUY</v>
      </c>
      <c r="AC174" s="70"/>
    </row>
    <row r="175" spans="17:29" x14ac:dyDescent="0.2">
      <c r="Q175" t="str">
        <f>Plant_Information!$B$6</f>
        <v>(INSERT VENDOR NAME HERE)</v>
      </c>
      <c r="R175" t="str">
        <f>'HAULING RATES- ODOT Locations'!$A$188</f>
        <v>District 10</v>
      </c>
      <c r="S175" t="str">
        <f>'HAULING RATES- ODOT Locations'!A207</f>
        <v>Washington</v>
      </c>
      <c r="T175" t="str">
        <f>'HAULING RATES- ODOT Locations'!B207</f>
        <v>Belpre OP, 399 SR 618, Belpre, OH 45714</v>
      </c>
      <c r="U175" t="str">
        <f>'HAULING RATES- ODOT Locations'!C$8</f>
        <v>Stone</v>
      </c>
      <c r="V175" s="146">
        <f>'HAULING RATES- ODOT Locations'!C207</f>
        <v>0</v>
      </c>
      <c r="W175" s="131" t="str">
        <f>+'Aggregate, Plant Pick-up'!$C$6</f>
        <v>LAFARGE-MARBLEHEAD "OSBORNE-CLEVELAND"</v>
      </c>
      <c r="X175" s="131" t="str">
        <f>+Plant_Information!$B$10</f>
        <v>04105-28</v>
      </c>
      <c r="Y175" s="131" t="str">
        <f>+Plant_Information!$B$11</f>
        <v>2100 CENTRAL FURNACE ROAD</v>
      </c>
      <c r="Z175" s="131" t="str">
        <f>+Plant_Information!$B$12</f>
        <v>CLEVELAND, OH, 44115</v>
      </c>
      <c r="AA175" s="131" t="str">
        <f>+Plant_Information!$B$13</f>
        <v>12</v>
      </c>
      <c r="AB175" s="131" t="str">
        <f>+Plant_Information!$B$14</f>
        <v>CUY</v>
      </c>
      <c r="AC175" s="70"/>
    </row>
    <row r="176" spans="17:29" x14ac:dyDescent="0.2">
      <c r="Q176" t="str">
        <f>Plant_Information!$B$6</f>
        <v>(INSERT VENDOR NAME HERE)</v>
      </c>
      <c r="R176" t="str">
        <f>'HAULING RATES- ODOT Locations'!$A$188</f>
        <v>District 10</v>
      </c>
      <c r="S176" t="str">
        <f>'HAULING RATES- ODOT Locations'!A208</f>
        <v>Washington</v>
      </c>
      <c r="T176" t="str">
        <f>'HAULING RATES- ODOT Locations'!B208</f>
        <v>20255 State Route 821, Dexter City, OH 45727</v>
      </c>
      <c r="U176" t="str">
        <f>'HAULING RATES- ODOT Locations'!C$8</f>
        <v>Stone</v>
      </c>
      <c r="V176" s="146">
        <f>'HAULING RATES- ODOT Locations'!C208</f>
        <v>0</v>
      </c>
      <c r="W176" s="131" t="str">
        <f>+'Aggregate, Plant Pick-up'!$C$6</f>
        <v>LAFARGE-MARBLEHEAD "OSBORNE-CLEVELAND"</v>
      </c>
      <c r="X176" s="131" t="str">
        <f>+Plant_Information!$B$10</f>
        <v>04105-28</v>
      </c>
      <c r="Y176" s="131" t="str">
        <f>+Plant_Information!$B$11</f>
        <v>2100 CENTRAL FURNACE ROAD</v>
      </c>
      <c r="Z176" s="131" t="str">
        <f>+Plant_Information!$B$12</f>
        <v>CLEVELAND, OH, 44115</v>
      </c>
      <c r="AA176" s="131" t="str">
        <f>+Plant_Information!$B$13</f>
        <v>12</v>
      </c>
      <c r="AB176" s="131" t="str">
        <f>+Plant_Information!$B$14</f>
        <v>CUY</v>
      </c>
      <c r="AC176" s="70"/>
    </row>
    <row r="177" spans="17:29" x14ac:dyDescent="0.2">
      <c r="Q177" t="str">
        <f>Plant_Information!$B$6</f>
        <v>(INSERT VENDOR NAME HERE)</v>
      </c>
      <c r="R177" t="str">
        <f>'HAULING RATES- ODOT Locations'!$A$209</f>
        <v>District 11</v>
      </c>
      <c r="S177" t="str">
        <f>'HAULING RATES- ODOT Locations'!A212</f>
        <v>Belmont</v>
      </c>
      <c r="T177" t="str">
        <f>'HAULING RATES- ODOT Locations'!B212</f>
        <v>41061 Bond Dr., Belmont, OH 43718</v>
      </c>
      <c r="U177" t="str">
        <f>'HAULING RATES- ODOT Locations'!C$8</f>
        <v>Stone</v>
      </c>
      <c r="V177" s="146">
        <f>'HAULING RATES- ODOT Locations'!C212</f>
        <v>0</v>
      </c>
      <c r="W177" s="131" t="str">
        <f>+'Aggregate, Plant Pick-up'!$C$6</f>
        <v>LAFARGE-MARBLEHEAD "OSBORNE-CLEVELAND"</v>
      </c>
      <c r="X177" s="131" t="str">
        <f>+Plant_Information!$B$10</f>
        <v>04105-28</v>
      </c>
      <c r="Y177" s="131" t="str">
        <f>+Plant_Information!$B$11</f>
        <v>2100 CENTRAL FURNACE ROAD</v>
      </c>
      <c r="Z177" s="131" t="str">
        <f>+Plant_Information!$B$12</f>
        <v>CLEVELAND, OH, 44115</v>
      </c>
      <c r="AA177" s="131" t="str">
        <f>+Plant_Information!$B$13</f>
        <v>12</v>
      </c>
      <c r="AB177" s="131" t="str">
        <f>+Plant_Information!$B$14</f>
        <v>CUY</v>
      </c>
      <c r="AC177" s="70"/>
    </row>
    <row r="178" spans="17:29" x14ac:dyDescent="0.2">
      <c r="Q178" t="str">
        <f>Plant_Information!$B$6</f>
        <v>(INSERT VENDOR NAME HERE)</v>
      </c>
      <c r="R178" t="str">
        <f>'HAULING RATES- ODOT Locations'!$A$209</f>
        <v>District 11</v>
      </c>
      <c r="S178" t="str">
        <f>'HAULING RATES- ODOT Locations'!A213</f>
        <v>Belmont</v>
      </c>
      <c r="T178" t="str">
        <f>'HAULING RATES- ODOT Locations'!B213</f>
        <v>49226 Wabash Ave., St. Clairsville, OH 43950</v>
      </c>
      <c r="U178" t="str">
        <f>'HAULING RATES- ODOT Locations'!C$8</f>
        <v>Stone</v>
      </c>
      <c r="V178" s="146">
        <f>'HAULING RATES- ODOT Locations'!C213</f>
        <v>0</v>
      </c>
      <c r="W178" s="131" t="str">
        <f>+'Aggregate, Plant Pick-up'!$C$6</f>
        <v>LAFARGE-MARBLEHEAD "OSBORNE-CLEVELAND"</v>
      </c>
      <c r="X178" s="131" t="str">
        <f>+Plant_Information!$B$10</f>
        <v>04105-28</v>
      </c>
      <c r="Y178" s="131" t="str">
        <f>+Plant_Information!$B$11</f>
        <v>2100 CENTRAL FURNACE ROAD</v>
      </c>
      <c r="Z178" s="131" t="str">
        <f>+Plant_Information!$B$12</f>
        <v>CLEVELAND, OH, 44115</v>
      </c>
      <c r="AA178" s="131" t="str">
        <f>+Plant_Information!$B$13</f>
        <v>12</v>
      </c>
      <c r="AB178" s="131" t="str">
        <f>+Plant_Information!$B$14</f>
        <v>CUY</v>
      </c>
      <c r="AC178" s="70"/>
    </row>
    <row r="179" spans="17:29" x14ac:dyDescent="0.2">
      <c r="Q179" t="str">
        <f>Plant_Information!$B$6</f>
        <v>(INSERT VENDOR NAME HERE)</v>
      </c>
      <c r="R179" t="str">
        <f>'HAULING RATES- ODOT Locations'!$A$209</f>
        <v>District 11</v>
      </c>
      <c r="S179" t="str">
        <f>'HAULING RATES- ODOT Locations'!A214</f>
        <v>Belmont</v>
      </c>
      <c r="T179" t="str">
        <f>'HAULING RATES- ODOT Locations'!B214</f>
        <v>36340 W. Captina Hwy., Barnesville, OH 43713</v>
      </c>
      <c r="U179" t="str">
        <f>'HAULING RATES- ODOT Locations'!C$8</f>
        <v>Stone</v>
      </c>
      <c r="V179" s="146">
        <f>'HAULING RATES- ODOT Locations'!C214</f>
        <v>0</v>
      </c>
      <c r="W179" s="131" t="str">
        <f>+'Aggregate, Plant Pick-up'!$C$6</f>
        <v>LAFARGE-MARBLEHEAD "OSBORNE-CLEVELAND"</v>
      </c>
      <c r="X179" s="131" t="str">
        <f>+Plant_Information!$B$10</f>
        <v>04105-28</v>
      </c>
      <c r="Y179" s="131" t="str">
        <f>+Plant_Information!$B$11</f>
        <v>2100 CENTRAL FURNACE ROAD</v>
      </c>
      <c r="Z179" s="131" t="str">
        <f>+Plant_Information!$B$12</f>
        <v>CLEVELAND, OH, 44115</v>
      </c>
      <c r="AA179" s="131" t="str">
        <f>+Plant_Information!$B$13</f>
        <v>12</v>
      </c>
      <c r="AB179" s="131" t="str">
        <f>+Plant_Information!$B$14</f>
        <v>CUY</v>
      </c>
      <c r="AC179" s="70"/>
    </row>
    <row r="180" spans="17:29" x14ac:dyDescent="0.2">
      <c r="Q180" t="str">
        <f>Plant_Information!$B$6</f>
        <v>(INSERT VENDOR NAME HERE)</v>
      </c>
      <c r="R180" t="str">
        <f>'HAULING RATES- ODOT Locations'!$A$209</f>
        <v>District 11</v>
      </c>
      <c r="S180" t="str">
        <f>'HAULING RATES- ODOT Locations'!A215</f>
        <v>Belmont</v>
      </c>
      <c r="T180" t="str">
        <f>'HAULING RATES- ODOT Locations'!B215</f>
        <v>56880 McGee Rd., Shadyside, OH 43947</v>
      </c>
      <c r="U180" t="str">
        <f>'HAULING RATES- ODOT Locations'!C$8</f>
        <v>Stone</v>
      </c>
      <c r="V180" s="146">
        <f>'HAULING RATES- ODOT Locations'!C215</f>
        <v>0</v>
      </c>
      <c r="W180" s="131" t="str">
        <f>+'Aggregate, Plant Pick-up'!$C$6</f>
        <v>LAFARGE-MARBLEHEAD "OSBORNE-CLEVELAND"</v>
      </c>
      <c r="X180" s="131" t="str">
        <f>+Plant_Information!$B$10</f>
        <v>04105-28</v>
      </c>
      <c r="Y180" s="131" t="str">
        <f>+Plant_Information!$B$11</f>
        <v>2100 CENTRAL FURNACE ROAD</v>
      </c>
      <c r="Z180" s="131" t="str">
        <f>+Plant_Information!$B$12</f>
        <v>CLEVELAND, OH, 44115</v>
      </c>
      <c r="AA180" s="131" t="str">
        <f>+Plant_Information!$B$13</f>
        <v>12</v>
      </c>
      <c r="AB180" s="131" t="str">
        <f>+Plant_Information!$B$14</f>
        <v>CUY</v>
      </c>
      <c r="AC180" s="70"/>
    </row>
    <row r="181" spans="17:29" x14ac:dyDescent="0.2">
      <c r="Q181" t="str">
        <f>Plant_Information!$B$6</f>
        <v>(INSERT VENDOR NAME HERE)</v>
      </c>
      <c r="R181" t="str">
        <f>'HAULING RATES- ODOT Locations'!$A$209</f>
        <v>District 11</v>
      </c>
      <c r="S181" t="str">
        <f>'HAULING RATES- ODOT Locations'!A216</f>
        <v>Carroll</v>
      </c>
      <c r="T181" t="str">
        <f>'HAULING RATES- ODOT Locations'!B216</f>
        <v>258 Kensington Rd., Carrollton, OH 44615</v>
      </c>
      <c r="U181" t="str">
        <f>'HAULING RATES- ODOT Locations'!C$8</f>
        <v>Stone</v>
      </c>
      <c r="V181" s="146">
        <f>'HAULING RATES- ODOT Locations'!C216</f>
        <v>0</v>
      </c>
      <c r="W181" s="131" t="str">
        <f>+'Aggregate, Plant Pick-up'!$C$6</f>
        <v>LAFARGE-MARBLEHEAD "OSBORNE-CLEVELAND"</v>
      </c>
      <c r="X181" s="131" t="str">
        <f>+Plant_Information!$B$10</f>
        <v>04105-28</v>
      </c>
      <c r="Y181" s="131" t="str">
        <f>+Plant_Information!$B$11</f>
        <v>2100 CENTRAL FURNACE ROAD</v>
      </c>
      <c r="Z181" s="131" t="str">
        <f>+Plant_Information!$B$12</f>
        <v>CLEVELAND, OH, 44115</v>
      </c>
      <c r="AA181" s="131" t="str">
        <f>+Plant_Information!$B$13</f>
        <v>12</v>
      </c>
      <c r="AB181" s="131" t="str">
        <f>+Plant_Information!$B$14</f>
        <v>CUY</v>
      </c>
      <c r="AC181" s="70"/>
    </row>
    <row r="182" spans="17:29" x14ac:dyDescent="0.2">
      <c r="Q182" t="str">
        <f>Plant_Information!$B$6</f>
        <v>(INSERT VENDOR NAME HERE)</v>
      </c>
      <c r="R182" t="str">
        <f>'HAULING RATES- ODOT Locations'!$A$209</f>
        <v>District 11</v>
      </c>
      <c r="S182" t="str">
        <f>'HAULING RATES- ODOT Locations'!A217</f>
        <v>Columbiana</v>
      </c>
      <c r="T182" t="str">
        <f>'HAULING RATES- ODOT Locations'!B217</f>
        <v>33606 US 30, Lisbon, OH 44432</v>
      </c>
      <c r="U182" t="str">
        <f>'HAULING RATES- ODOT Locations'!C$8</f>
        <v>Stone</v>
      </c>
      <c r="V182" s="146">
        <f>'HAULING RATES- ODOT Locations'!C217</f>
        <v>0</v>
      </c>
      <c r="W182" s="131" t="str">
        <f>+'Aggregate, Plant Pick-up'!$C$6</f>
        <v>LAFARGE-MARBLEHEAD "OSBORNE-CLEVELAND"</v>
      </c>
      <c r="X182" s="131" t="str">
        <f>+Plant_Information!$B$10</f>
        <v>04105-28</v>
      </c>
      <c r="Y182" s="131" t="str">
        <f>+Plant_Information!$B$11</f>
        <v>2100 CENTRAL FURNACE ROAD</v>
      </c>
      <c r="Z182" s="131" t="str">
        <f>+Plant_Information!$B$12</f>
        <v>CLEVELAND, OH, 44115</v>
      </c>
      <c r="AA182" s="131" t="str">
        <f>+Plant_Information!$B$13</f>
        <v>12</v>
      </c>
      <c r="AB182" s="131" t="str">
        <f>+Plant_Information!$B$14</f>
        <v>CUY</v>
      </c>
      <c r="AC182" s="70"/>
    </row>
    <row r="183" spans="17:29" x14ac:dyDescent="0.2">
      <c r="Q183" t="str">
        <f>Plant_Information!$B$6</f>
        <v>(INSERT VENDOR NAME HERE)</v>
      </c>
      <c r="R183" t="str">
        <f>'HAULING RATES- ODOT Locations'!$A$209</f>
        <v>District 11</v>
      </c>
      <c r="S183" t="str">
        <f>'HAULING RATES- ODOT Locations'!A218</f>
        <v>Columbiana</v>
      </c>
      <c r="T183" t="str">
        <f>'HAULING RATES- ODOT Locations'!B218</f>
        <v>Apples Corners OP, 14745 Old Lincoln Hwy.,  East Liverpool, OH 43920</v>
      </c>
      <c r="U183" t="str">
        <f>'HAULING RATES- ODOT Locations'!C$8</f>
        <v>Stone</v>
      </c>
      <c r="V183" s="146">
        <f>'HAULING RATES- ODOT Locations'!C218</f>
        <v>0</v>
      </c>
      <c r="W183" s="131" t="str">
        <f>+'Aggregate, Plant Pick-up'!$C$6</f>
        <v>LAFARGE-MARBLEHEAD "OSBORNE-CLEVELAND"</v>
      </c>
      <c r="X183" s="131" t="str">
        <f>+Plant_Information!$B$10</f>
        <v>04105-28</v>
      </c>
      <c r="Y183" s="131" t="str">
        <f>+Plant_Information!$B$11</f>
        <v>2100 CENTRAL FURNACE ROAD</v>
      </c>
      <c r="Z183" s="131" t="str">
        <f>+Plant_Information!$B$12</f>
        <v>CLEVELAND, OH, 44115</v>
      </c>
      <c r="AA183" s="131" t="str">
        <f>+Plant_Information!$B$13</f>
        <v>12</v>
      </c>
      <c r="AB183" s="131" t="str">
        <f>+Plant_Information!$B$14</f>
        <v>CUY</v>
      </c>
      <c r="AC183" s="70"/>
    </row>
    <row r="184" spans="17:29" x14ac:dyDescent="0.2">
      <c r="Q184" t="str">
        <f>Plant_Information!$B$6</f>
        <v>(INSERT VENDOR NAME HERE)</v>
      </c>
      <c r="R184" t="str">
        <f>'HAULING RATES- ODOT Locations'!$A$209</f>
        <v>District 11</v>
      </c>
      <c r="S184" t="str">
        <f>'HAULING RATES- ODOT Locations'!A219</f>
        <v>Columbiana</v>
      </c>
      <c r="T184" t="str">
        <f>'HAULING RATES- ODOT Locations'!B219</f>
        <v>Unity OP, 2099 SR 165, East Palestine, OH 44413</v>
      </c>
      <c r="U184" t="str">
        <f>'HAULING RATES- ODOT Locations'!C$8</f>
        <v>Stone</v>
      </c>
      <c r="V184" s="146">
        <f>'HAULING RATES- ODOT Locations'!C219</f>
        <v>0</v>
      </c>
      <c r="W184" s="131" t="str">
        <f>+'Aggregate, Plant Pick-up'!$C$6</f>
        <v>LAFARGE-MARBLEHEAD "OSBORNE-CLEVELAND"</v>
      </c>
      <c r="X184" s="131" t="str">
        <f>+Plant_Information!$B$10</f>
        <v>04105-28</v>
      </c>
      <c r="Y184" s="131" t="str">
        <f>+Plant_Information!$B$11</f>
        <v>2100 CENTRAL FURNACE ROAD</v>
      </c>
      <c r="Z184" s="131" t="str">
        <f>+Plant_Information!$B$12</f>
        <v>CLEVELAND, OH, 44115</v>
      </c>
      <c r="AA184" s="131" t="str">
        <f>+Plant_Information!$B$13</f>
        <v>12</v>
      </c>
      <c r="AB184" s="131" t="str">
        <f>+Plant_Information!$B$14</f>
        <v>CUY</v>
      </c>
      <c r="AC184" s="70"/>
    </row>
    <row r="185" spans="17:29" x14ac:dyDescent="0.2">
      <c r="Q185" t="str">
        <f>Plant_Information!$B$6</f>
        <v>(INSERT VENDOR NAME HERE)</v>
      </c>
      <c r="R185" t="str">
        <f>'HAULING RATES- ODOT Locations'!$A$209</f>
        <v>District 11</v>
      </c>
      <c r="S185" t="str">
        <f>'HAULING RATES- ODOT Locations'!A220</f>
        <v>Harrison</v>
      </c>
      <c r="T185" t="str">
        <f>'HAULING RATES- ODOT Locations'!B220</f>
        <v>Harrison Co. Gar., 43041 S. Industrial Park Rd.,Cadiz, OH 43907</v>
      </c>
      <c r="U185" t="str">
        <f>'HAULING RATES- ODOT Locations'!C$8</f>
        <v>Stone</v>
      </c>
      <c r="V185" s="146">
        <f>'HAULING RATES- ODOT Locations'!C220</f>
        <v>0</v>
      </c>
      <c r="W185" s="131" t="str">
        <f>+'Aggregate, Plant Pick-up'!$C$6</f>
        <v>LAFARGE-MARBLEHEAD "OSBORNE-CLEVELAND"</v>
      </c>
      <c r="X185" s="131" t="str">
        <f>+Plant_Information!$B$10</f>
        <v>04105-28</v>
      </c>
      <c r="Y185" s="131" t="str">
        <f>+Plant_Information!$B$11</f>
        <v>2100 CENTRAL FURNACE ROAD</v>
      </c>
      <c r="Z185" s="131" t="str">
        <f>+Plant_Information!$B$12</f>
        <v>CLEVELAND, OH, 44115</v>
      </c>
      <c r="AA185" s="131" t="str">
        <f>+Plant_Information!$B$13</f>
        <v>12</v>
      </c>
      <c r="AB185" s="131" t="str">
        <f>+Plant_Information!$B$14</f>
        <v>CUY</v>
      </c>
      <c r="AC185" s="70"/>
    </row>
    <row r="186" spans="17:29" x14ac:dyDescent="0.2">
      <c r="Q186" s="138" t="str">
        <f>Plant_Information!$B$6</f>
        <v>(INSERT VENDOR NAME HERE)</v>
      </c>
      <c r="R186" s="138" t="str">
        <f>'HAULING RATES- ODOT Locations'!$A$209</f>
        <v>District 11</v>
      </c>
      <c r="S186" s="138" t="str">
        <f>'HAULING RATES- ODOT Locations'!A221</f>
        <v>Harrison</v>
      </c>
      <c r="T186" s="138" t="str">
        <f>'HAULING RATES- ODOT Locations'!B221</f>
        <v>37201 Scio Bowerstown Rd, Scio OH 43988</v>
      </c>
      <c r="U186" s="138" t="str">
        <f>'HAULING RATES- ODOT Locations'!C$8</f>
        <v>Stone</v>
      </c>
      <c r="V186" s="146">
        <f>'HAULING RATES- ODOT Locations'!C221</f>
        <v>0</v>
      </c>
      <c r="W186" s="141" t="str">
        <f>+'Aggregate, Plant Pick-up'!$C$6</f>
        <v>LAFARGE-MARBLEHEAD "OSBORNE-CLEVELAND"</v>
      </c>
      <c r="X186" s="141" t="str">
        <f>+Plant_Information!$B$10</f>
        <v>04105-28</v>
      </c>
      <c r="Y186" s="141" t="str">
        <f>+Plant_Information!$B$11</f>
        <v>2100 CENTRAL FURNACE ROAD</v>
      </c>
      <c r="Z186" s="141" t="str">
        <f>+Plant_Information!$B$12</f>
        <v>CLEVELAND, OH, 44115</v>
      </c>
      <c r="AA186" s="141" t="str">
        <f>+Plant_Information!$B$13</f>
        <v>12</v>
      </c>
      <c r="AB186" s="141" t="str">
        <f>+Plant_Information!$B$14</f>
        <v>CUY</v>
      </c>
      <c r="AC186" s="70"/>
    </row>
    <row r="187" spans="17:29" x14ac:dyDescent="0.2">
      <c r="Q187" t="str">
        <f>Plant_Information!$B$6</f>
        <v>(INSERT VENDOR NAME HERE)</v>
      </c>
      <c r="R187" t="str">
        <f>'HAULING RATES- ODOT Locations'!$A$209</f>
        <v>District 11</v>
      </c>
      <c r="S187" t="str">
        <f>'HAULING RATES- ODOT Locations'!A222</f>
        <v>Harrison</v>
      </c>
      <c r="T187" t="str">
        <f>'HAULING RATES- ODOT Locations'!B222</f>
        <v>76001 Smyrna Rd., Freeport, OH 43973</v>
      </c>
      <c r="U187" t="str">
        <f>'HAULING RATES- ODOT Locations'!C$8</f>
        <v>Stone</v>
      </c>
      <c r="V187" s="146">
        <f>'HAULING RATES- ODOT Locations'!C222</f>
        <v>0</v>
      </c>
      <c r="W187" s="131" t="str">
        <f>+'Aggregate, Plant Pick-up'!$C$6</f>
        <v>LAFARGE-MARBLEHEAD "OSBORNE-CLEVELAND"</v>
      </c>
      <c r="X187" s="131" t="str">
        <f>+Plant_Information!$B$10</f>
        <v>04105-28</v>
      </c>
      <c r="Y187" s="131" t="str">
        <f>+Plant_Information!$B$11</f>
        <v>2100 CENTRAL FURNACE ROAD</v>
      </c>
      <c r="Z187" s="131" t="str">
        <f>+Plant_Information!$B$12</f>
        <v>CLEVELAND, OH, 44115</v>
      </c>
      <c r="AA187" s="131" t="str">
        <f>+Plant_Information!$B$13</f>
        <v>12</v>
      </c>
      <c r="AB187" s="131" t="str">
        <f>+Plant_Information!$B$14</f>
        <v>CUY</v>
      </c>
      <c r="AC187" s="70"/>
    </row>
    <row r="188" spans="17:29" x14ac:dyDescent="0.2">
      <c r="Q188" t="str">
        <f>Plant_Information!$B$6</f>
        <v>(INSERT VENDOR NAME HERE)</v>
      </c>
      <c r="R188" t="str">
        <f>'HAULING RATES- ODOT Locations'!$A$209</f>
        <v>District 11</v>
      </c>
      <c r="S188" t="str">
        <f>'HAULING RATES- ODOT Locations'!A223</f>
        <v>Holmes</v>
      </c>
      <c r="T188" t="str">
        <f>'HAULING RATES- ODOT Locations'!B223</f>
        <v>1800 S. Washington St., Millersburg, OH 44654</v>
      </c>
      <c r="U188" t="str">
        <f>'HAULING RATES- ODOT Locations'!C$8</f>
        <v>Stone</v>
      </c>
      <c r="V188" s="146">
        <f>'HAULING RATES- ODOT Locations'!C223</f>
        <v>0</v>
      </c>
      <c r="W188" s="131" t="str">
        <f>+'Aggregate, Plant Pick-up'!$C$6</f>
        <v>LAFARGE-MARBLEHEAD "OSBORNE-CLEVELAND"</v>
      </c>
      <c r="X188" s="131" t="str">
        <f>+Plant_Information!$B$10</f>
        <v>04105-28</v>
      </c>
      <c r="Y188" s="131" t="str">
        <f>+Plant_Information!$B$11</f>
        <v>2100 CENTRAL FURNACE ROAD</v>
      </c>
      <c r="Z188" s="131" t="str">
        <f>+Plant_Information!$B$12</f>
        <v>CLEVELAND, OH, 44115</v>
      </c>
      <c r="AA188" s="131" t="str">
        <f>+Plant_Information!$B$13</f>
        <v>12</v>
      </c>
      <c r="AB188" s="131" t="str">
        <f>+Plant_Information!$B$14</f>
        <v>CUY</v>
      </c>
      <c r="AC188" s="70"/>
    </row>
    <row r="189" spans="17:29" x14ac:dyDescent="0.2">
      <c r="Q189" t="str">
        <f>Plant_Information!$B$6</f>
        <v>(INSERT VENDOR NAME HERE)</v>
      </c>
      <c r="R189" t="str">
        <f>'HAULING RATES- ODOT Locations'!$A$209</f>
        <v>District 11</v>
      </c>
      <c r="S189" t="str">
        <f>'HAULING RATES- ODOT Locations'!A224</f>
        <v>Holmes</v>
      </c>
      <c r="T189" t="str">
        <f>'HAULING RATES- ODOT Locations'!B224</f>
        <v>Nashville OP, 14785 SR 39, Lakeville, OH 44638</v>
      </c>
      <c r="U189" t="str">
        <f>'HAULING RATES- ODOT Locations'!C$8</f>
        <v>Stone</v>
      </c>
      <c r="V189" s="146">
        <f>'HAULING RATES- ODOT Locations'!C224</f>
        <v>0</v>
      </c>
      <c r="W189" s="131" t="str">
        <f>+'Aggregate, Plant Pick-up'!$C$6</f>
        <v>LAFARGE-MARBLEHEAD "OSBORNE-CLEVELAND"</v>
      </c>
      <c r="X189" s="131" t="str">
        <f>+Plant_Information!$B$10</f>
        <v>04105-28</v>
      </c>
      <c r="Y189" s="131" t="str">
        <f>+Plant_Information!$B$11</f>
        <v>2100 CENTRAL FURNACE ROAD</v>
      </c>
      <c r="Z189" s="131" t="str">
        <f>+Plant_Information!$B$12</f>
        <v>CLEVELAND, OH, 44115</v>
      </c>
      <c r="AA189" s="131" t="str">
        <f>+Plant_Information!$B$13</f>
        <v>12</v>
      </c>
      <c r="AB189" s="131" t="str">
        <f>+Plant_Information!$B$14</f>
        <v>CUY</v>
      </c>
      <c r="AC189" s="70"/>
    </row>
    <row r="190" spans="17:29" x14ac:dyDescent="0.2">
      <c r="Q190" t="str">
        <f>Plant_Information!$B$6</f>
        <v>(INSERT VENDOR NAME HERE)</v>
      </c>
      <c r="R190" t="str">
        <f>'HAULING RATES- ODOT Locations'!$A$209</f>
        <v>District 11</v>
      </c>
      <c r="S190" t="str">
        <f>'HAULING RATES- ODOT Locations'!A225</f>
        <v>Jefferson</v>
      </c>
      <c r="T190" t="str">
        <f>'HAULING RATES- ODOT Locations'!B225</f>
        <v>575 CR 43, Steubenville, OH 43952</v>
      </c>
      <c r="U190" t="str">
        <f>'HAULING RATES- ODOT Locations'!C$8</f>
        <v>Stone</v>
      </c>
      <c r="V190" s="146">
        <f>'HAULING RATES- ODOT Locations'!C225</f>
        <v>0</v>
      </c>
      <c r="W190" s="131" t="str">
        <f>+'Aggregate, Plant Pick-up'!$C$6</f>
        <v>LAFARGE-MARBLEHEAD "OSBORNE-CLEVELAND"</v>
      </c>
      <c r="X190" s="131" t="str">
        <f>+Plant_Information!$B$10</f>
        <v>04105-28</v>
      </c>
      <c r="Y190" s="131" t="str">
        <f>+Plant_Information!$B$11</f>
        <v>2100 CENTRAL FURNACE ROAD</v>
      </c>
      <c r="Z190" s="131" t="str">
        <f>+Plant_Information!$B$12</f>
        <v>CLEVELAND, OH, 44115</v>
      </c>
      <c r="AA190" s="131" t="str">
        <f>+Plant_Information!$B$13</f>
        <v>12</v>
      </c>
      <c r="AB190" s="131" t="str">
        <f>+Plant_Information!$B$14</f>
        <v>CUY</v>
      </c>
      <c r="AC190" s="70"/>
    </row>
    <row r="191" spans="17:29" x14ac:dyDescent="0.2">
      <c r="Q191" t="str">
        <f>Plant_Information!$B$6</f>
        <v>(INSERT VENDOR NAME HERE)</v>
      </c>
      <c r="R191" t="str">
        <f>'HAULING RATES- ODOT Locations'!$A$209</f>
        <v>District 11</v>
      </c>
      <c r="S191" t="str">
        <f>'HAULING RATES- ODOT Locations'!A226</f>
        <v>Jefferson</v>
      </c>
      <c r="T191" t="str">
        <f>'HAULING RATES- ODOT Locations'!B226</f>
        <v>940 Kingsdale Rd., Steubenville, OH 43952</v>
      </c>
      <c r="U191" t="str">
        <f>'HAULING RATES- ODOT Locations'!C$8</f>
        <v>Stone</v>
      </c>
      <c r="V191" s="146">
        <f>'HAULING RATES- ODOT Locations'!C226</f>
        <v>0</v>
      </c>
      <c r="W191" s="131" t="str">
        <f>+'Aggregate, Plant Pick-up'!$C$6</f>
        <v>LAFARGE-MARBLEHEAD "OSBORNE-CLEVELAND"</v>
      </c>
      <c r="X191" s="131" t="str">
        <f>+Plant_Information!$B$10</f>
        <v>04105-28</v>
      </c>
      <c r="Y191" s="131" t="str">
        <f>+Plant_Information!$B$11</f>
        <v>2100 CENTRAL FURNACE ROAD</v>
      </c>
      <c r="Z191" s="131" t="str">
        <f>+Plant_Information!$B$12</f>
        <v>CLEVELAND, OH, 44115</v>
      </c>
      <c r="AA191" s="131" t="str">
        <f>+Plant_Information!$B$13</f>
        <v>12</v>
      </c>
      <c r="AB191" s="131" t="str">
        <f>+Plant_Information!$B$14</f>
        <v>CUY</v>
      </c>
      <c r="AC191" s="70"/>
    </row>
    <row r="192" spans="17:29" x14ac:dyDescent="0.2">
      <c r="Q192" t="str">
        <f>Plant_Information!$B$6</f>
        <v>(INSERT VENDOR NAME HERE)</v>
      </c>
      <c r="R192" t="str">
        <f>'HAULING RATES- ODOT Locations'!$A$209</f>
        <v>District 11</v>
      </c>
      <c r="S192" t="str">
        <f>'HAULING RATES- ODOT Locations'!A227</f>
        <v>Jefferson</v>
      </c>
      <c r="T192" t="str">
        <f>'HAULING RATES- ODOT Locations'!B227</f>
        <v>4735 State Rt. 150, Dillonvale, OH 43917</v>
      </c>
      <c r="U192" t="str">
        <f>'HAULING RATES- ODOT Locations'!C$8</f>
        <v>Stone</v>
      </c>
      <c r="V192" s="146">
        <f>'HAULING RATES- ODOT Locations'!C227</f>
        <v>0</v>
      </c>
      <c r="W192" s="131" t="str">
        <f>+'Aggregate, Plant Pick-up'!$C$6</f>
        <v>LAFARGE-MARBLEHEAD "OSBORNE-CLEVELAND"</v>
      </c>
      <c r="X192" s="131" t="str">
        <f>+Plant_Information!$B$10</f>
        <v>04105-28</v>
      </c>
      <c r="Y192" s="131" t="str">
        <f>+Plant_Information!$B$11</f>
        <v>2100 CENTRAL FURNACE ROAD</v>
      </c>
      <c r="Z192" s="131" t="str">
        <f>+Plant_Information!$B$12</f>
        <v>CLEVELAND, OH, 44115</v>
      </c>
      <c r="AA192" s="131" t="str">
        <f>+Plant_Information!$B$13</f>
        <v>12</v>
      </c>
      <c r="AB192" s="131" t="str">
        <f>+Plant_Information!$B$14</f>
        <v>CUY</v>
      </c>
      <c r="AC192" s="70"/>
    </row>
    <row r="193" spans="17:29" x14ac:dyDescent="0.2">
      <c r="Q193" t="str">
        <f>Plant_Information!$B$6</f>
        <v>(INSERT VENDOR NAME HERE)</v>
      </c>
      <c r="R193" t="str">
        <f>'HAULING RATES- ODOT Locations'!$A$209</f>
        <v>District 11</v>
      </c>
      <c r="S193" t="str">
        <f>'HAULING RATES- ODOT Locations'!A228</f>
        <v>Jefferson</v>
      </c>
      <c r="T193" t="str">
        <f>'HAULING RATES- ODOT Locations'!B228</f>
        <v>7876 State Rt. 164, Bergholz, OH 43908</v>
      </c>
      <c r="U193" t="str">
        <f>'HAULING RATES- ODOT Locations'!C$8</f>
        <v>Stone</v>
      </c>
      <c r="V193" s="146">
        <f>'HAULING RATES- ODOT Locations'!C228</f>
        <v>0</v>
      </c>
      <c r="W193" s="131" t="str">
        <f>+'Aggregate, Plant Pick-up'!$C$6</f>
        <v>LAFARGE-MARBLEHEAD "OSBORNE-CLEVELAND"</v>
      </c>
      <c r="X193" s="131" t="str">
        <f>+Plant_Information!$B$10</f>
        <v>04105-28</v>
      </c>
      <c r="Y193" s="131" t="str">
        <f>+Plant_Information!$B$11</f>
        <v>2100 CENTRAL FURNACE ROAD</v>
      </c>
      <c r="Z193" s="131" t="str">
        <f>+Plant_Information!$B$12</f>
        <v>CLEVELAND, OH, 44115</v>
      </c>
      <c r="AA193" s="131" t="str">
        <f>+Plant_Information!$B$13</f>
        <v>12</v>
      </c>
      <c r="AB193" s="131" t="str">
        <f>+Plant_Information!$B$14</f>
        <v>CUY</v>
      </c>
      <c r="AC193" s="70"/>
    </row>
    <row r="194" spans="17:29" x14ac:dyDescent="0.2">
      <c r="Q194" t="str">
        <f>Plant_Information!$B$6</f>
        <v>(INSERT VENDOR NAME HERE)</v>
      </c>
      <c r="R194" t="str">
        <f>'HAULING RATES- ODOT Locations'!$A$209</f>
        <v>District 11</v>
      </c>
      <c r="S194" t="str">
        <f>'HAULING RATES- ODOT Locations'!A229</f>
        <v>Tuscarawas</v>
      </c>
      <c r="T194" t="str">
        <f>'HAULING RATES- ODOT Locations'!B229</f>
        <v>384 Stonecreek Rd. SE, New Philadelphia, OH 44663</v>
      </c>
      <c r="U194" t="str">
        <f>'HAULING RATES- ODOT Locations'!C$8</f>
        <v>Stone</v>
      </c>
      <c r="V194" s="146">
        <f>'HAULING RATES- ODOT Locations'!C229</f>
        <v>0</v>
      </c>
      <c r="W194" s="131" t="str">
        <f>+'Aggregate, Plant Pick-up'!$C$6</f>
        <v>LAFARGE-MARBLEHEAD "OSBORNE-CLEVELAND"</v>
      </c>
      <c r="X194" s="131" t="str">
        <f>+Plant_Information!$B$10</f>
        <v>04105-28</v>
      </c>
      <c r="Y194" s="131" t="str">
        <f>+Plant_Information!$B$11</f>
        <v>2100 CENTRAL FURNACE ROAD</v>
      </c>
      <c r="Z194" s="131" t="str">
        <f>+Plant_Information!$B$12</f>
        <v>CLEVELAND, OH, 44115</v>
      </c>
      <c r="AA194" s="131" t="str">
        <f>+Plant_Information!$B$13</f>
        <v>12</v>
      </c>
      <c r="AB194" s="131" t="str">
        <f>+Plant_Information!$B$14</f>
        <v>CUY</v>
      </c>
      <c r="AC194" s="70"/>
    </row>
    <row r="195" spans="17:29" x14ac:dyDescent="0.2">
      <c r="Q195" t="str">
        <f>Plant_Information!$B$6</f>
        <v>(INSERT VENDOR NAME HERE)</v>
      </c>
      <c r="R195" t="str">
        <f>'HAULING RATES- ODOT Locations'!$A$209</f>
        <v>District 11</v>
      </c>
      <c r="S195" t="str">
        <f>'HAULING RATES- ODOT Locations'!A230</f>
        <v>Tuscarawas</v>
      </c>
      <c r="T195" t="str">
        <f>'HAULING RATES- ODOT Locations'!B230</f>
        <v>1763 Dover-Zoar Rd., Bolivar, OH 44612</v>
      </c>
      <c r="U195" t="str">
        <f>'HAULING RATES- ODOT Locations'!C$8</f>
        <v>Stone</v>
      </c>
      <c r="V195" s="146">
        <f>'HAULING RATES- ODOT Locations'!C230</f>
        <v>0</v>
      </c>
      <c r="W195" s="131" t="str">
        <f>+'Aggregate, Plant Pick-up'!$C$6</f>
        <v>LAFARGE-MARBLEHEAD "OSBORNE-CLEVELAND"</v>
      </c>
      <c r="X195" s="131" t="str">
        <f>+Plant_Information!$B$10</f>
        <v>04105-28</v>
      </c>
      <c r="Y195" s="131" t="str">
        <f>+Plant_Information!$B$11</f>
        <v>2100 CENTRAL FURNACE ROAD</v>
      </c>
      <c r="Z195" s="131" t="str">
        <f>+Plant_Information!$B$12</f>
        <v>CLEVELAND, OH, 44115</v>
      </c>
      <c r="AA195" s="131" t="str">
        <f>+Plant_Information!$B$13</f>
        <v>12</v>
      </c>
      <c r="AB195" s="131" t="str">
        <f>+Plant_Information!$B$14</f>
        <v>CUY</v>
      </c>
      <c r="AC195" s="70"/>
    </row>
    <row r="196" spans="17:29" x14ac:dyDescent="0.2">
      <c r="Q196" t="str">
        <f>Plant_Information!$B$6</f>
        <v>(INSERT VENDOR NAME HERE)</v>
      </c>
      <c r="R196" t="str">
        <f>'HAULING RATES- ODOT Locations'!$A$209</f>
        <v>District 11</v>
      </c>
      <c r="S196" t="str">
        <f>'HAULING RATES- ODOT Locations'!A231</f>
        <v>Tuscarawas</v>
      </c>
      <c r="T196" t="str">
        <f>'HAULING RATES- ODOT Locations'!B231</f>
        <v>600 N. College St., Newcomerstown, OH 43832</v>
      </c>
      <c r="U196" t="str">
        <f>'HAULING RATES- ODOT Locations'!C$8</f>
        <v>Stone</v>
      </c>
      <c r="V196" s="146">
        <f>'HAULING RATES- ODOT Locations'!C231</f>
        <v>0</v>
      </c>
      <c r="W196" s="131" t="str">
        <f>+'Aggregate, Plant Pick-up'!$C$6</f>
        <v>LAFARGE-MARBLEHEAD "OSBORNE-CLEVELAND"</v>
      </c>
      <c r="X196" s="131" t="str">
        <f>+Plant_Information!$B$10</f>
        <v>04105-28</v>
      </c>
      <c r="Y196" s="131" t="str">
        <f>+Plant_Information!$B$11</f>
        <v>2100 CENTRAL FURNACE ROAD</v>
      </c>
      <c r="Z196" s="131" t="str">
        <f>+Plant_Information!$B$12</f>
        <v>CLEVELAND, OH, 44115</v>
      </c>
      <c r="AA196" s="131" t="str">
        <f>+Plant_Information!$B$13</f>
        <v>12</v>
      </c>
      <c r="AB196" s="131" t="str">
        <f>+Plant_Information!$B$14</f>
        <v>CUY</v>
      </c>
      <c r="AC196" s="70"/>
    </row>
    <row r="197" spans="17:29" x14ac:dyDescent="0.2">
      <c r="Q197" t="str">
        <f>Plant_Information!$B$6</f>
        <v>(INSERT VENDOR NAME HERE)</v>
      </c>
      <c r="R197" t="str">
        <f>'HAULING RATES- ODOT Locations'!$A$209</f>
        <v>District 11</v>
      </c>
      <c r="S197" t="str">
        <f>'HAULING RATES- ODOT Locations'!A232</f>
        <v>Tuscarawas</v>
      </c>
      <c r="T197" t="str">
        <f>'HAULING RATES- ODOT Locations'!B232</f>
        <v>2201 Reiser Ave. SE, New Philadelphia, OH 44663</v>
      </c>
      <c r="U197" t="str">
        <f>'HAULING RATES- ODOT Locations'!C$8</f>
        <v>Stone</v>
      </c>
      <c r="V197" s="146">
        <f>'HAULING RATES- ODOT Locations'!C232</f>
        <v>0</v>
      </c>
      <c r="W197" s="131" t="str">
        <f>+'Aggregate, Plant Pick-up'!$C$6</f>
        <v>LAFARGE-MARBLEHEAD "OSBORNE-CLEVELAND"</v>
      </c>
      <c r="X197" s="131" t="str">
        <f>+Plant_Information!$B$10</f>
        <v>04105-28</v>
      </c>
      <c r="Y197" s="131" t="str">
        <f>+Plant_Information!$B$11</f>
        <v>2100 CENTRAL FURNACE ROAD</v>
      </c>
      <c r="Z197" s="131" t="str">
        <f>+Plant_Information!$B$12</f>
        <v>CLEVELAND, OH, 44115</v>
      </c>
      <c r="AA197" s="131" t="str">
        <f>+Plant_Information!$B$13</f>
        <v>12</v>
      </c>
      <c r="AB197" s="131" t="str">
        <f>+Plant_Information!$B$14</f>
        <v>CUY</v>
      </c>
      <c r="AC197" s="70"/>
    </row>
    <row r="198" spans="17:29" x14ac:dyDescent="0.2">
      <c r="Q198" t="str">
        <f>Plant_Information!$B$6</f>
        <v>(INSERT VENDOR NAME HERE)</v>
      </c>
      <c r="R198" t="str">
        <f>'HAULING RATES- ODOT Locations'!$A$233</f>
        <v>District 12</v>
      </c>
      <c r="S198" t="str">
        <f>'HAULING RATES- ODOT Locations'!A236</f>
        <v>Cuyahoga</v>
      </c>
      <c r="T198" t="str">
        <f>'HAULING RATES- ODOT Locations'!B236</f>
        <v>5430 Lake Ct., Cleveland, OH 44114</v>
      </c>
      <c r="U198" t="str">
        <f>'HAULING RATES- ODOT Locations'!C$8</f>
        <v>Stone</v>
      </c>
      <c r="V198" s="146">
        <f>'HAULING RATES- ODOT Locations'!C236</f>
        <v>4.5</v>
      </c>
      <c r="W198" s="131" t="str">
        <f>+'Aggregate, Plant Pick-up'!$C$6</f>
        <v>LAFARGE-MARBLEHEAD "OSBORNE-CLEVELAND"</v>
      </c>
      <c r="X198" s="131" t="str">
        <f>+Plant_Information!$B$10</f>
        <v>04105-28</v>
      </c>
      <c r="Y198" s="131" t="str">
        <f>+Plant_Information!$B$11</f>
        <v>2100 CENTRAL FURNACE ROAD</v>
      </c>
      <c r="Z198" s="131" t="str">
        <f>+Plant_Information!$B$12</f>
        <v>CLEVELAND, OH, 44115</v>
      </c>
      <c r="AA198" s="131" t="str">
        <f>+Plant_Information!$B$13</f>
        <v>12</v>
      </c>
      <c r="AB198" s="131" t="str">
        <f>+Plant_Information!$B$14</f>
        <v>CUY</v>
      </c>
      <c r="AC198" s="70"/>
    </row>
    <row r="199" spans="17:29" x14ac:dyDescent="0.2">
      <c r="Q199" t="str">
        <f>Plant_Information!$B$6</f>
        <v>(INSERT VENDOR NAME HERE)</v>
      </c>
      <c r="R199" t="str">
        <f>'HAULING RATES- ODOT Locations'!$A$233</f>
        <v>District 12</v>
      </c>
      <c r="S199" t="str">
        <f>'HAULING RATES- ODOT Locations'!A237</f>
        <v>Cuyahoga</v>
      </c>
      <c r="T199" t="str">
        <f>'HAULING RATES- ODOT Locations'!B237</f>
        <v>5469 Old Brecksville Rd., Independence, OH 44131</v>
      </c>
      <c r="U199" t="str">
        <f>'HAULING RATES- ODOT Locations'!C$8</f>
        <v>Stone</v>
      </c>
      <c r="V199" s="146">
        <f>'HAULING RATES- ODOT Locations'!C237</f>
        <v>5</v>
      </c>
      <c r="W199" s="131" t="str">
        <f>+'Aggregate, Plant Pick-up'!$C$6</f>
        <v>LAFARGE-MARBLEHEAD "OSBORNE-CLEVELAND"</v>
      </c>
      <c r="X199" s="131" t="str">
        <f>+Plant_Information!$B$10</f>
        <v>04105-28</v>
      </c>
      <c r="Y199" s="131" t="str">
        <f>+Plant_Information!$B$11</f>
        <v>2100 CENTRAL FURNACE ROAD</v>
      </c>
      <c r="Z199" s="131" t="str">
        <f>+Plant_Information!$B$12</f>
        <v>CLEVELAND, OH, 44115</v>
      </c>
      <c r="AA199" s="131" t="str">
        <f>+Plant_Information!$B$13</f>
        <v>12</v>
      </c>
      <c r="AB199" s="131" t="str">
        <f>+Plant_Information!$B$14</f>
        <v>CUY</v>
      </c>
      <c r="AC199" s="70"/>
    </row>
    <row r="200" spans="17:29" x14ac:dyDescent="0.2">
      <c r="Q200" t="str">
        <f>Plant_Information!$B$6</f>
        <v>(INSERT VENDOR NAME HERE)</v>
      </c>
      <c r="R200" t="str">
        <f>'HAULING RATES- ODOT Locations'!$A$233</f>
        <v>District 12</v>
      </c>
      <c r="S200" t="str">
        <f>'HAULING RATES- ODOT Locations'!A238</f>
        <v>Cuyahoga</v>
      </c>
      <c r="T200" t="str">
        <f>'HAULING RATES- ODOT Locations'!B238</f>
        <v>25500 St. Clair Ave Euclid OH 44117</v>
      </c>
      <c r="U200" t="str">
        <f>'HAULING RATES- ODOT Locations'!C$8</f>
        <v>Stone</v>
      </c>
      <c r="V200" s="146">
        <f>'HAULING RATES- ODOT Locations'!C238</f>
        <v>6.5</v>
      </c>
      <c r="W200" s="131" t="str">
        <f>+'Aggregate, Plant Pick-up'!$C$6</f>
        <v>LAFARGE-MARBLEHEAD "OSBORNE-CLEVELAND"</v>
      </c>
      <c r="X200" s="131" t="str">
        <f>+Plant_Information!$B$10</f>
        <v>04105-28</v>
      </c>
      <c r="Y200" s="131" t="str">
        <f>+Plant_Information!$B$11</f>
        <v>2100 CENTRAL FURNACE ROAD</v>
      </c>
      <c r="Z200" s="131" t="str">
        <f>+Plant_Information!$B$12</f>
        <v>CLEVELAND, OH, 44115</v>
      </c>
      <c r="AA200" s="131" t="str">
        <f>+Plant_Information!$B$13</f>
        <v>12</v>
      </c>
      <c r="AB200" s="131" t="str">
        <f>+Plant_Information!$B$14</f>
        <v>CUY</v>
      </c>
      <c r="AC200" s="70"/>
    </row>
    <row r="201" spans="17:29" x14ac:dyDescent="0.2">
      <c r="Q201" t="str">
        <f>Plant_Information!$B$6</f>
        <v>(INSERT VENDOR NAME HERE)</v>
      </c>
      <c r="R201" t="str">
        <f>'HAULING RATES- ODOT Locations'!$A$233</f>
        <v>District 12</v>
      </c>
      <c r="S201" t="str">
        <f>'HAULING RATES- ODOT Locations'!A239</f>
        <v>Cuyahoga</v>
      </c>
      <c r="T201" t="str">
        <f>'HAULING RATES- ODOT Locations'!B239</f>
        <v>2151 W114th St. Cleveland OH 44102</v>
      </c>
      <c r="U201" t="str">
        <f>'HAULING RATES- ODOT Locations'!C$8</f>
        <v>Stone</v>
      </c>
      <c r="V201" s="146">
        <f>'HAULING RATES- ODOT Locations'!C239</f>
        <v>5.25</v>
      </c>
      <c r="W201" s="131" t="str">
        <f>+'Aggregate, Plant Pick-up'!$C$6</f>
        <v>LAFARGE-MARBLEHEAD "OSBORNE-CLEVELAND"</v>
      </c>
      <c r="X201" s="131" t="str">
        <f>+Plant_Information!$B$10</f>
        <v>04105-28</v>
      </c>
      <c r="Y201" s="131" t="str">
        <f>+Plant_Information!$B$11</f>
        <v>2100 CENTRAL FURNACE ROAD</v>
      </c>
      <c r="Z201" s="131" t="str">
        <f>+Plant_Information!$B$12</f>
        <v>CLEVELAND, OH, 44115</v>
      </c>
      <c r="AA201" s="131" t="str">
        <f>+Plant_Information!$B$13</f>
        <v>12</v>
      </c>
      <c r="AB201" s="131" t="str">
        <f>+Plant_Information!$B$14</f>
        <v>CUY</v>
      </c>
      <c r="AC201" s="70"/>
    </row>
    <row r="202" spans="17:29" x14ac:dyDescent="0.2">
      <c r="Q202" t="str">
        <f>Plant_Information!$B$6</f>
        <v>(INSERT VENDOR NAME HERE)</v>
      </c>
      <c r="R202" t="str">
        <f>'HAULING RATES- ODOT Locations'!$A$233</f>
        <v>District 12</v>
      </c>
      <c r="S202" t="str">
        <f>'HAULING RATES- ODOT Locations'!A240</f>
        <v>Cuyahoga</v>
      </c>
      <c r="T202" t="str">
        <f>'HAULING RATES- ODOT Locations'!B240</f>
        <v>Riveredge Yard, 4900 Old Grayton Rd., Cleveland, OH 44135</v>
      </c>
      <c r="U202" t="str">
        <f>'HAULING RATES- ODOT Locations'!C$8</f>
        <v>Stone</v>
      </c>
      <c r="V202" s="146">
        <f>'HAULING RATES- ODOT Locations'!C240</f>
        <v>6.5</v>
      </c>
      <c r="W202" s="131" t="str">
        <f>+'Aggregate, Plant Pick-up'!$C$6</f>
        <v>LAFARGE-MARBLEHEAD "OSBORNE-CLEVELAND"</v>
      </c>
      <c r="X202" s="131" t="str">
        <f>+Plant_Information!$B$10</f>
        <v>04105-28</v>
      </c>
      <c r="Y202" s="131" t="str">
        <f>+Plant_Information!$B$11</f>
        <v>2100 CENTRAL FURNACE ROAD</v>
      </c>
      <c r="Z202" s="131" t="str">
        <f>+Plant_Information!$B$12</f>
        <v>CLEVELAND, OH, 44115</v>
      </c>
      <c r="AA202" s="131" t="str">
        <f>+Plant_Information!$B$13</f>
        <v>12</v>
      </c>
      <c r="AB202" s="131" t="str">
        <f>+Plant_Information!$B$14</f>
        <v>CUY</v>
      </c>
      <c r="AC202" s="70"/>
    </row>
    <row r="203" spans="17:29" x14ac:dyDescent="0.2">
      <c r="Q203" s="138" t="str">
        <f>Plant_Information!$B$6</f>
        <v>(INSERT VENDOR NAME HERE)</v>
      </c>
      <c r="R203" s="138" t="str">
        <f>'HAULING RATES- ODOT Locations'!$A$233</f>
        <v>District 12</v>
      </c>
      <c r="S203" s="138" t="str">
        <f>'HAULING RATES- ODOT Locations'!A241</f>
        <v>Cuyahoga</v>
      </c>
      <c r="T203" s="138" t="str">
        <f>'HAULING RATES- ODOT Locations'!B241</f>
        <v>3263 E 44th Pl, Cleveland, OH 44127</v>
      </c>
      <c r="U203" s="138" t="str">
        <f>'HAULING RATES- ODOT Locations'!C$8</f>
        <v>Stone</v>
      </c>
      <c r="V203" s="146">
        <f>'HAULING RATES- ODOT Locations'!C241</f>
        <v>4.5</v>
      </c>
      <c r="W203" s="141" t="str">
        <f>+'Aggregate, Plant Pick-up'!$C$6</f>
        <v>LAFARGE-MARBLEHEAD "OSBORNE-CLEVELAND"</v>
      </c>
      <c r="X203" s="141" t="str">
        <f>+Plant_Information!$B$10</f>
        <v>04105-28</v>
      </c>
      <c r="Y203" s="141" t="str">
        <f>+Plant_Information!$B$11</f>
        <v>2100 CENTRAL FURNACE ROAD</v>
      </c>
      <c r="Z203" s="141" t="str">
        <f>+Plant_Information!$B$12</f>
        <v>CLEVELAND, OH, 44115</v>
      </c>
      <c r="AA203" s="141" t="str">
        <f>+Plant_Information!$B$13</f>
        <v>12</v>
      </c>
      <c r="AB203" s="141" t="str">
        <f>+Plant_Information!$B$14</f>
        <v>CUY</v>
      </c>
      <c r="AC203" s="70"/>
    </row>
    <row r="204" spans="17:29" x14ac:dyDescent="0.2">
      <c r="Q204" t="str">
        <f>Plant_Information!$B$6</f>
        <v>(INSERT VENDOR NAME HERE)</v>
      </c>
      <c r="R204" t="str">
        <f>'HAULING RATES- ODOT Locations'!$A$233</f>
        <v>District 12</v>
      </c>
      <c r="S204" t="str">
        <f>'HAULING RATES- ODOT Locations'!A242</f>
        <v>Cuyahoga</v>
      </c>
      <c r="T204" t="str">
        <f>'HAULING RATES- ODOT Locations'!B242</f>
        <v>25609 Emery Rd., Warrensville Heights, OH 44128</v>
      </c>
      <c r="U204" t="str">
        <f>'HAULING RATES- ODOT Locations'!C$8</f>
        <v>Stone</v>
      </c>
      <c r="V204" s="146">
        <f>'HAULING RATES- ODOT Locations'!C242</f>
        <v>6.25</v>
      </c>
      <c r="W204" s="131" t="str">
        <f>+'Aggregate, Plant Pick-up'!$C$6</f>
        <v>LAFARGE-MARBLEHEAD "OSBORNE-CLEVELAND"</v>
      </c>
      <c r="X204" s="131" t="str">
        <f>+Plant_Information!$B$10</f>
        <v>04105-28</v>
      </c>
      <c r="Y204" s="131" t="str">
        <f>+Plant_Information!$B$11</f>
        <v>2100 CENTRAL FURNACE ROAD</v>
      </c>
      <c r="Z204" s="131" t="str">
        <f>+Plant_Information!$B$12</f>
        <v>CLEVELAND, OH, 44115</v>
      </c>
      <c r="AA204" s="131" t="str">
        <f>+Plant_Information!$B$13</f>
        <v>12</v>
      </c>
      <c r="AB204" s="131" t="str">
        <f>+Plant_Information!$B$14</f>
        <v>CUY</v>
      </c>
      <c r="AC204" s="70"/>
    </row>
    <row r="205" spans="17:29" x14ac:dyDescent="0.2">
      <c r="Q205" t="str">
        <f>Plant_Information!$B$6</f>
        <v>(INSERT VENDOR NAME HERE)</v>
      </c>
      <c r="R205" t="str">
        <f>'HAULING RATES- ODOT Locations'!$A$233</f>
        <v>District 12</v>
      </c>
      <c r="S205" t="str">
        <f>'HAULING RATES- ODOT Locations'!A243</f>
        <v>Geauga</v>
      </c>
      <c r="T205" t="str">
        <f>'HAULING RATES- ODOT Locations'!B243</f>
        <v>13595 W. Center St.(Rt. 87), Burton, OH 44021</v>
      </c>
      <c r="U205" t="str">
        <f>'HAULING RATES- ODOT Locations'!C$8</f>
        <v>Stone</v>
      </c>
      <c r="V205" s="146">
        <f>'HAULING RATES- ODOT Locations'!C243</f>
        <v>12.25</v>
      </c>
      <c r="W205" s="131" t="str">
        <f>+'Aggregate, Plant Pick-up'!$C$6</f>
        <v>LAFARGE-MARBLEHEAD "OSBORNE-CLEVELAND"</v>
      </c>
      <c r="X205" s="131" t="str">
        <f>+Plant_Information!$B$10</f>
        <v>04105-28</v>
      </c>
      <c r="Y205" s="131" t="str">
        <f>+Plant_Information!$B$11</f>
        <v>2100 CENTRAL FURNACE ROAD</v>
      </c>
      <c r="Z205" s="131" t="str">
        <f>+Plant_Information!$B$12</f>
        <v>CLEVELAND, OH, 44115</v>
      </c>
      <c r="AA205" s="131" t="str">
        <f>+Plant_Information!$B$13</f>
        <v>12</v>
      </c>
      <c r="AB205" s="131" t="str">
        <f>+Plant_Information!$B$14</f>
        <v>CUY</v>
      </c>
      <c r="AC205" s="70"/>
    </row>
    <row r="206" spans="17:29" x14ac:dyDescent="0.2">
      <c r="Q206" t="str">
        <f>Plant_Information!$B$6</f>
        <v>(INSERT VENDOR NAME HERE)</v>
      </c>
      <c r="R206" t="str">
        <f>'HAULING RATES- ODOT Locations'!$A$233</f>
        <v>District 12</v>
      </c>
      <c r="S206" t="str">
        <f>'HAULING RATES- ODOT Locations'!A244</f>
        <v>Geauga</v>
      </c>
      <c r="T206" t="str">
        <f>'HAULING RATES- ODOT Locations'!B244</f>
        <v>16556 G.A.R. Highway (Route 6), Montville Twp., OH 44064</v>
      </c>
      <c r="U206" t="str">
        <f>'HAULING RATES- ODOT Locations'!C$8</f>
        <v>Stone</v>
      </c>
      <c r="V206" s="146">
        <f>'HAULING RATES- ODOT Locations'!C244</f>
        <v>12.75</v>
      </c>
      <c r="W206" s="131" t="str">
        <f>+'Aggregate, Plant Pick-up'!$C$6</f>
        <v>LAFARGE-MARBLEHEAD "OSBORNE-CLEVELAND"</v>
      </c>
      <c r="X206" s="131" t="str">
        <f>+Plant_Information!$B$10</f>
        <v>04105-28</v>
      </c>
      <c r="Y206" s="131" t="str">
        <f>+Plant_Information!$B$11</f>
        <v>2100 CENTRAL FURNACE ROAD</v>
      </c>
      <c r="Z206" s="131" t="str">
        <f>+Plant_Information!$B$12</f>
        <v>CLEVELAND, OH, 44115</v>
      </c>
      <c r="AA206" s="131" t="str">
        <f>+Plant_Information!$B$13</f>
        <v>12</v>
      </c>
      <c r="AB206" s="131" t="str">
        <f>+Plant_Information!$B$14</f>
        <v>CUY</v>
      </c>
      <c r="AC206" s="70"/>
    </row>
    <row r="207" spans="17:29" x14ac:dyDescent="0.2">
      <c r="Q207" t="str">
        <f>Plant_Information!$B$6</f>
        <v>(INSERT VENDOR NAME HERE)</v>
      </c>
      <c r="R207" t="str">
        <f>'HAULING RATES- ODOT Locations'!$A$233</f>
        <v>District 12</v>
      </c>
      <c r="S207" t="str">
        <f>'HAULING RATES- ODOT Locations'!A245</f>
        <v>Geauga</v>
      </c>
      <c r="T207" t="str">
        <f>'HAULING RATES- ODOT Locations'!B245</f>
        <v>Munson Yard, 12453 Bass Lake Rd. (Off  Route 322) Munson Twp., OH 44024</v>
      </c>
      <c r="U207" t="str">
        <f>'HAULING RATES- ODOT Locations'!C$8</f>
        <v>Stone</v>
      </c>
      <c r="V207" s="146">
        <f>'HAULING RATES- ODOT Locations'!C245</f>
        <v>12.25</v>
      </c>
      <c r="W207" s="131" t="str">
        <f>+'Aggregate, Plant Pick-up'!$C$6</f>
        <v>LAFARGE-MARBLEHEAD "OSBORNE-CLEVELAND"</v>
      </c>
      <c r="X207" s="131" t="str">
        <f>+Plant_Information!$B$10</f>
        <v>04105-28</v>
      </c>
      <c r="Y207" s="131" t="str">
        <f>+Plant_Information!$B$11</f>
        <v>2100 CENTRAL FURNACE ROAD</v>
      </c>
      <c r="Z207" s="131" t="str">
        <f>+Plant_Information!$B$12</f>
        <v>CLEVELAND, OH, 44115</v>
      </c>
      <c r="AA207" s="131" t="str">
        <f>+Plant_Information!$B$13</f>
        <v>12</v>
      </c>
      <c r="AB207" s="131" t="str">
        <f>+Plant_Information!$B$14</f>
        <v>CUY</v>
      </c>
      <c r="AC207" s="70"/>
    </row>
    <row r="208" spans="17:29" x14ac:dyDescent="0.2">
      <c r="Q208" t="str">
        <f>Plant_Information!$B$6</f>
        <v>(INSERT VENDOR NAME HERE)</v>
      </c>
      <c r="R208" t="str">
        <f>'HAULING RATES- ODOT Locations'!$A$233</f>
        <v>District 12</v>
      </c>
      <c r="S208" t="str">
        <f>'HAULING RATES- ODOT Locations'!A246</f>
        <v>Geauga</v>
      </c>
      <c r="T208" t="str">
        <f>'HAULING RATES- ODOT Locations'!B246</f>
        <v>18186 Tavern Rd.(Route 168), Parkman Twp., OH 44080</v>
      </c>
      <c r="U208" t="str">
        <f>'HAULING RATES- ODOT Locations'!C$8</f>
        <v>Stone</v>
      </c>
      <c r="V208" s="146">
        <f>'HAULING RATES- ODOT Locations'!C246</f>
        <v>12.75</v>
      </c>
      <c r="W208" s="131" t="str">
        <f>+'Aggregate, Plant Pick-up'!$C$6</f>
        <v>LAFARGE-MARBLEHEAD "OSBORNE-CLEVELAND"</v>
      </c>
      <c r="X208" s="131" t="str">
        <f>+Plant_Information!$B$10</f>
        <v>04105-28</v>
      </c>
      <c r="Y208" s="131" t="str">
        <f>+Plant_Information!$B$11</f>
        <v>2100 CENTRAL FURNACE ROAD</v>
      </c>
      <c r="Z208" s="131" t="str">
        <f>+Plant_Information!$B$12</f>
        <v>CLEVELAND, OH, 44115</v>
      </c>
      <c r="AA208" s="131" t="str">
        <f>+Plant_Information!$B$13</f>
        <v>12</v>
      </c>
      <c r="AB208" s="131" t="str">
        <f>+Plant_Information!$B$14</f>
        <v>CUY</v>
      </c>
      <c r="AC208" s="70"/>
    </row>
    <row r="209" spans="17:29" x14ac:dyDescent="0.2">
      <c r="Q209" t="str">
        <f>Plant_Information!$B$6</f>
        <v>(INSERT VENDOR NAME HERE)</v>
      </c>
      <c r="R209" t="str">
        <f>'HAULING RATES- ODOT Locations'!$A$233</f>
        <v>District 12</v>
      </c>
      <c r="S209" t="str">
        <f>'HAULING RATES- ODOT Locations'!A247</f>
        <v>Lake</v>
      </c>
      <c r="T209" t="str">
        <f>'HAULING RATES- ODOT Locations'!B247</f>
        <v>10 Blackbrook Rd., Painesville, OH 44077</v>
      </c>
      <c r="U209" t="str">
        <f>'HAULING RATES- ODOT Locations'!C$8</f>
        <v>Stone</v>
      </c>
      <c r="V209" s="146">
        <f>'HAULING RATES- ODOT Locations'!C247</f>
        <v>12.25</v>
      </c>
      <c r="W209" s="131" t="str">
        <f>+'Aggregate, Plant Pick-up'!$C$6</f>
        <v>LAFARGE-MARBLEHEAD "OSBORNE-CLEVELAND"</v>
      </c>
      <c r="X209" s="131" t="str">
        <f>+Plant_Information!$B$10</f>
        <v>04105-28</v>
      </c>
      <c r="Y209" s="131" t="str">
        <f>+Plant_Information!$B$11</f>
        <v>2100 CENTRAL FURNACE ROAD</v>
      </c>
      <c r="Z209" s="131" t="str">
        <f>+Plant_Information!$B$12</f>
        <v>CLEVELAND, OH, 44115</v>
      </c>
      <c r="AA209" s="131" t="str">
        <f>+Plant_Information!$B$13</f>
        <v>12</v>
      </c>
      <c r="AB209" s="131" t="str">
        <f>+Plant_Information!$B$14</f>
        <v>CUY</v>
      </c>
      <c r="AC209" s="70"/>
    </row>
    <row r="210" spans="17:29" x14ac:dyDescent="0.2">
      <c r="Q210" t="str">
        <f>Plant_Information!$B$6</f>
        <v>(INSERT VENDOR NAME HERE)</v>
      </c>
      <c r="R210" t="str">
        <f>'HAULING RATES- ODOT Locations'!$A$233</f>
        <v>District 12</v>
      </c>
      <c r="S210" t="str">
        <f>'HAULING RATES- ODOT Locations'!A248</f>
        <v>Lake</v>
      </c>
      <c r="T210" t="str">
        <f>'HAULING RATES- ODOT Locations'!B248</f>
        <v>Unionville OP, 3210 County Line Rd., Madison Twp., OH 44057</v>
      </c>
      <c r="U210" t="str">
        <f>'HAULING RATES- ODOT Locations'!C$8</f>
        <v>Stone</v>
      </c>
      <c r="V210" s="146">
        <f>'HAULING RATES- ODOT Locations'!C248</f>
        <v>12.25</v>
      </c>
      <c r="W210" s="131" t="str">
        <f>+'Aggregate, Plant Pick-up'!$C$6</f>
        <v>LAFARGE-MARBLEHEAD "OSBORNE-CLEVELAND"</v>
      </c>
      <c r="X210" s="131" t="str">
        <f>+Plant_Information!$B$10</f>
        <v>04105-28</v>
      </c>
      <c r="Y210" s="131" t="str">
        <f>+Plant_Information!$B$11</f>
        <v>2100 CENTRAL FURNACE ROAD</v>
      </c>
      <c r="Z210" s="131" t="str">
        <f>+Plant_Information!$B$12</f>
        <v>CLEVELAND, OH, 44115</v>
      </c>
      <c r="AA210" s="131" t="str">
        <f>+Plant_Information!$B$13</f>
        <v>12</v>
      </c>
      <c r="AB210" s="131" t="str">
        <f>+Plant_Information!$B$14</f>
        <v>CUY</v>
      </c>
      <c r="AC210" s="70"/>
    </row>
    <row r="211" spans="17:29" x14ac:dyDescent="0.2">
      <c r="Q211" s="138" t="str">
        <f>Plant_Information!$B$6</f>
        <v>(INSERT VENDOR NAME HERE)</v>
      </c>
      <c r="R211" s="138" t="str">
        <f>'HAULING RATES- ODOT Locations'!$A$233</f>
        <v>District 12</v>
      </c>
      <c r="S211" s="138" t="str">
        <f>'HAULING RATES- ODOT Locations'!A249</f>
        <v>Lake</v>
      </c>
      <c r="T211" s="138" t="str">
        <f>'HAULING RATES- ODOT Locations'!B249</f>
        <v>I-90 EB, 0.84 mi. east of SR 91, Willoughby Hills, OH 44094 (Old Weigh Scale)</v>
      </c>
      <c r="U211" s="138" t="str">
        <f>'HAULING RATES- ODOT Locations'!C$8</f>
        <v>Stone</v>
      </c>
      <c r="V211" s="146">
        <f>'HAULING RATES- ODOT Locations'!C249</f>
        <v>10.25</v>
      </c>
      <c r="W211" s="141" t="str">
        <f>+'Aggregate, Plant Pick-up'!$C$6</f>
        <v>LAFARGE-MARBLEHEAD "OSBORNE-CLEVELAND"</v>
      </c>
      <c r="X211" s="141" t="str">
        <f>+Plant_Information!$B$10</f>
        <v>04105-28</v>
      </c>
      <c r="Y211" s="141" t="str">
        <f>+Plant_Information!$B$11</f>
        <v>2100 CENTRAL FURNACE ROAD</v>
      </c>
      <c r="Z211" s="141" t="str">
        <f>+Plant_Information!$B$12</f>
        <v>CLEVELAND, OH, 44115</v>
      </c>
      <c r="AA211" s="141" t="str">
        <f>+Plant_Information!$B$13</f>
        <v>12</v>
      </c>
      <c r="AB211" s="141" t="str">
        <f>+Plant_Information!$B$14</f>
        <v>CUY</v>
      </c>
      <c r="AC211" s="70"/>
    </row>
    <row r="212" spans="17:29" x14ac:dyDescent="0.2">
      <c r="Q212" t="str">
        <f>Plant_Information!$B$6</f>
        <v>(INSERT VENDOR NAME HERE)</v>
      </c>
      <c r="R212" t="str">
        <f>'HAULING RATES- ODOT Locations'!$A$233</f>
        <v>District 12</v>
      </c>
      <c r="S212" t="str">
        <f>'HAULING RATES- ODOT Locations'!A250</f>
        <v>Lake</v>
      </c>
      <c r="T212" t="str">
        <f>'HAULING RATES- ODOT Locations'!B250</f>
        <v>6073 Vrooman Rd., Leroy Township., OH 44077</v>
      </c>
      <c r="U212" t="str">
        <f>'HAULING RATES- ODOT Locations'!C$8</f>
        <v>Stone</v>
      </c>
      <c r="V212" s="146">
        <f>'HAULING RATES- ODOT Locations'!C250</f>
        <v>12.25</v>
      </c>
      <c r="W212" s="131" t="str">
        <f>+'Aggregate, Plant Pick-up'!$C$6</f>
        <v>LAFARGE-MARBLEHEAD "OSBORNE-CLEVELAND"</v>
      </c>
      <c r="X212" s="131" t="str">
        <f>+Plant_Information!$B$10</f>
        <v>04105-28</v>
      </c>
      <c r="Y212" s="131" t="str">
        <f>+Plant_Information!$B$11</f>
        <v>2100 CENTRAL FURNACE ROAD</v>
      </c>
      <c r="Z212" s="131" t="str">
        <f>+Plant_Information!$B$12</f>
        <v>CLEVELAND, OH, 44115</v>
      </c>
      <c r="AA212" s="131" t="str">
        <f>+Plant_Information!$B$13</f>
        <v>12</v>
      </c>
      <c r="AB212" s="131" t="str">
        <f>+Plant_Information!$B$14</f>
        <v>CUY</v>
      </c>
      <c r="AC212" s="70"/>
    </row>
    <row r="213" spans="17:29" x14ac:dyDescent="0.2">
      <c r="Q213" t="str">
        <f>Plant_Information!$B$6</f>
        <v>(INSERT VENDOR NAME HERE)</v>
      </c>
      <c r="R213" t="str">
        <f>'HAULING RATES- ODOT Locations'!$A$6</f>
        <v>District 1</v>
      </c>
      <c r="S213" t="str">
        <f>'HAULING RATES- ODOT Locations'!A9</f>
        <v>Allen</v>
      </c>
      <c r="T213" t="str">
        <f>'HAULING RATES- ODOT Locations'!B9</f>
        <v>1705 North McCullough Street, Lima, 45801</v>
      </c>
      <c r="U213" t="str">
        <f>'HAULING RATES- ODOT Locations'!D$8</f>
        <v>Slag</v>
      </c>
      <c r="V213" s="146">
        <f>'HAULING RATES- ODOT Locations'!D9</f>
        <v>0</v>
      </c>
      <c r="W213" s="131" t="str">
        <f>+'Aggregate, Plant Pick-up'!$C$6</f>
        <v>LAFARGE-MARBLEHEAD "OSBORNE-CLEVELAND"</v>
      </c>
      <c r="X213" s="131" t="str">
        <f>+Plant_Information!$B$10</f>
        <v>04105-28</v>
      </c>
      <c r="Y213" s="131" t="str">
        <f>+Plant_Information!$B$11</f>
        <v>2100 CENTRAL FURNACE ROAD</v>
      </c>
      <c r="Z213" s="131" t="str">
        <f>+Plant_Information!$B$12</f>
        <v>CLEVELAND, OH, 44115</v>
      </c>
      <c r="AA213" s="131" t="str">
        <f>+Plant_Information!$B$13</f>
        <v>12</v>
      </c>
      <c r="AB213" s="131" t="str">
        <f>+Plant_Information!$B$14</f>
        <v>CUY</v>
      </c>
      <c r="AC213" s="70"/>
    </row>
    <row r="214" spans="17:29" x14ac:dyDescent="0.2">
      <c r="Q214" t="str">
        <f>Plant_Information!$B$6</f>
        <v>(INSERT VENDOR NAME HERE)</v>
      </c>
      <c r="R214" t="str">
        <f>'HAULING RATES- ODOT Locations'!$A$6</f>
        <v>District 1</v>
      </c>
      <c r="S214" t="str">
        <f>'HAULING RATES- ODOT Locations'!A10</f>
        <v>Defiance</v>
      </c>
      <c r="T214" t="str">
        <f>'HAULING RATES- ODOT Locations'!B10</f>
        <v>2340 Baltimore Rd., Defiance 43512</v>
      </c>
      <c r="U214" t="str">
        <f>'HAULING RATES- ODOT Locations'!D$8</f>
        <v>Slag</v>
      </c>
      <c r="V214" s="146">
        <f>'HAULING RATES- ODOT Locations'!D10</f>
        <v>0</v>
      </c>
      <c r="W214" s="131" t="str">
        <f>+'Aggregate, Plant Pick-up'!$C$6</f>
        <v>LAFARGE-MARBLEHEAD "OSBORNE-CLEVELAND"</v>
      </c>
      <c r="X214" s="131" t="str">
        <f>+Plant_Information!$B$10</f>
        <v>04105-28</v>
      </c>
      <c r="Y214" s="131" t="str">
        <f>+Plant_Information!$B$11</f>
        <v>2100 CENTRAL FURNACE ROAD</v>
      </c>
      <c r="Z214" s="131" t="str">
        <f>+Plant_Information!$B$12</f>
        <v>CLEVELAND, OH, 44115</v>
      </c>
      <c r="AA214" s="131" t="str">
        <f>+Plant_Information!$B$13</f>
        <v>12</v>
      </c>
      <c r="AB214" s="131" t="str">
        <f>+Plant_Information!$B$14</f>
        <v>CUY</v>
      </c>
      <c r="AC214" s="70"/>
    </row>
    <row r="215" spans="17:29" x14ac:dyDescent="0.2">
      <c r="Q215" t="str">
        <f>Plant_Information!$B$6</f>
        <v>(INSERT VENDOR NAME HERE)</v>
      </c>
      <c r="R215" t="str">
        <f>'HAULING RATES- ODOT Locations'!$A$6</f>
        <v>District 1</v>
      </c>
      <c r="S215" t="str">
        <f>'HAULING RATES- ODOT Locations'!A11</f>
        <v>Hancock</v>
      </c>
      <c r="T215" t="str">
        <f>'HAULING RATES- ODOT Locations'!B11</f>
        <v>1645 Lima Ave., Findlay 45840</v>
      </c>
      <c r="U215" t="str">
        <f>'HAULING RATES- ODOT Locations'!D$8</f>
        <v>Slag</v>
      </c>
      <c r="V215" s="146">
        <f>'HAULING RATES- ODOT Locations'!D11</f>
        <v>0</v>
      </c>
      <c r="W215" s="131" t="str">
        <f>+'Aggregate, Plant Pick-up'!$C$6</f>
        <v>LAFARGE-MARBLEHEAD "OSBORNE-CLEVELAND"</v>
      </c>
      <c r="X215" s="131" t="str">
        <f>+Plant_Information!$B$10</f>
        <v>04105-28</v>
      </c>
      <c r="Y215" s="131" t="str">
        <f>+Plant_Information!$B$11</f>
        <v>2100 CENTRAL FURNACE ROAD</v>
      </c>
      <c r="Z215" s="131" t="str">
        <f>+Plant_Information!$B$12</f>
        <v>CLEVELAND, OH, 44115</v>
      </c>
      <c r="AA215" s="131" t="str">
        <f>+Plant_Information!$B$13</f>
        <v>12</v>
      </c>
      <c r="AB215" s="131" t="str">
        <f>+Plant_Information!$B$14</f>
        <v>CUY</v>
      </c>
      <c r="AC215" s="70"/>
    </row>
    <row r="216" spans="17:29" x14ac:dyDescent="0.2">
      <c r="Q216" t="str">
        <f>Plant_Information!$B$6</f>
        <v>(INSERT VENDOR NAME HERE)</v>
      </c>
      <c r="R216" t="str">
        <f>'HAULING RATES- ODOT Locations'!$A$6</f>
        <v>District 1</v>
      </c>
      <c r="S216" t="str">
        <f>'HAULING RATES- ODOT Locations'!A12</f>
        <v>Hardin</v>
      </c>
      <c r="T216" t="str">
        <f>'HAULING RATES- ODOT Locations'!B12</f>
        <v>13052 US 68, Kenton 43326</v>
      </c>
      <c r="U216" t="str">
        <f>'HAULING RATES- ODOT Locations'!D$8</f>
        <v>Slag</v>
      </c>
      <c r="V216" s="146">
        <f>'HAULING RATES- ODOT Locations'!D12</f>
        <v>0</v>
      </c>
      <c r="W216" s="131" t="str">
        <f>+'Aggregate, Plant Pick-up'!$C$6</f>
        <v>LAFARGE-MARBLEHEAD "OSBORNE-CLEVELAND"</v>
      </c>
      <c r="X216" s="131" t="str">
        <f>+Plant_Information!$B$10</f>
        <v>04105-28</v>
      </c>
      <c r="Y216" s="131" t="str">
        <f>+Plant_Information!$B$11</f>
        <v>2100 CENTRAL FURNACE ROAD</v>
      </c>
      <c r="Z216" s="131" t="str">
        <f>+Plant_Information!$B$12</f>
        <v>CLEVELAND, OH, 44115</v>
      </c>
      <c r="AA216" s="131" t="str">
        <f>+Plant_Information!$B$13</f>
        <v>12</v>
      </c>
      <c r="AB216" s="131" t="str">
        <f>+Plant_Information!$B$14</f>
        <v>CUY</v>
      </c>
      <c r="AC216" s="70"/>
    </row>
    <row r="217" spans="17:29" x14ac:dyDescent="0.2">
      <c r="Q217" t="str">
        <f>Plant_Information!$B$6</f>
        <v>(INSERT VENDOR NAME HERE)</v>
      </c>
      <c r="R217" t="str">
        <f>'HAULING RATES- ODOT Locations'!$A$6</f>
        <v>District 1</v>
      </c>
      <c r="S217" t="str">
        <f>'HAULING RATES- ODOT Locations'!A13</f>
        <v>Paulding</v>
      </c>
      <c r="T217" t="str">
        <f>'HAULING RATES- ODOT Locations'!B13</f>
        <v>833 W. Wayne St., Paulding 45879</v>
      </c>
      <c r="U217" t="str">
        <f>'HAULING RATES- ODOT Locations'!D$8</f>
        <v>Slag</v>
      </c>
      <c r="V217" s="146">
        <f>'HAULING RATES- ODOT Locations'!D13</f>
        <v>0</v>
      </c>
      <c r="W217" s="131" t="str">
        <f>+'Aggregate, Plant Pick-up'!$C$6</f>
        <v>LAFARGE-MARBLEHEAD "OSBORNE-CLEVELAND"</v>
      </c>
      <c r="X217" s="131" t="str">
        <f>+Plant_Information!$B$10</f>
        <v>04105-28</v>
      </c>
      <c r="Y217" s="131" t="str">
        <f>+Plant_Information!$B$11</f>
        <v>2100 CENTRAL FURNACE ROAD</v>
      </c>
      <c r="Z217" s="131" t="str">
        <f>+Plant_Information!$B$12</f>
        <v>CLEVELAND, OH, 44115</v>
      </c>
      <c r="AA217" s="131" t="str">
        <f>+Plant_Information!$B$13</f>
        <v>12</v>
      </c>
      <c r="AB217" s="131" t="str">
        <f>+Plant_Information!$B$14</f>
        <v>CUY</v>
      </c>
      <c r="AC217" s="70"/>
    </row>
    <row r="218" spans="17:29" x14ac:dyDescent="0.2">
      <c r="Q218" t="str">
        <f>Plant_Information!$B$6</f>
        <v>(INSERT VENDOR NAME HERE)</v>
      </c>
      <c r="R218" t="str">
        <f>'HAULING RATES- ODOT Locations'!$A$6</f>
        <v>District 1</v>
      </c>
      <c r="S218" t="str">
        <f>'HAULING RATES- ODOT Locations'!A14</f>
        <v xml:space="preserve">Putnam </v>
      </c>
      <c r="T218" t="str">
        <f>'HAULING RATES- ODOT Locations'!B14</f>
        <v>617 E. 11th St. (Intersection SR 65 &amp; 11th Street), Ottawa, 45875</v>
      </c>
      <c r="U218" t="str">
        <f>'HAULING RATES- ODOT Locations'!D$8</f>
        <v>Slag</v>
      </c>
      <c r="V218" s="146">
        <f>'HAULING RATES- ODOT Locations'!D14</f>
        <v>0</v>
      </c>
      <c r="W218" s="131" t="str">
        <f>+'Aggregate, Plant Pick-up'!$C$6</f>
        <v>LAFARGE-MARBLEHEAD "OSBORNE-CLEVELAND"</v>
      </c>
      <c r="X218" s="131" t="str">
        <f>+Plant_Information!$B$10</f>
        <v>04105-28</v>
      </c>
      <c r="Y218" s="131" t="str">
        <f>+Plant_Information!$B$11</f>
        <v>2100 CENTRAL FURNACE ROAD</v>
      </c>
      <c r="Z218" s="131" t="str">
        <f>+Plant_Information!$B$12</f>
        <v>CLEVELAND, OH, 44115</v>
      </c>
      <c r="AA218" s="131" t="str">
        <f>+Plant_Information!$B$13</f>
        <v>12</v>
      </c>
      <c r="AB218" s="131" t="str">
        <f>+Plant_Information!$B$14</f>
        <v>CUY</v>
      </c>
      <c r="AC218" s="70"/>
    </row>
    <row r="219" spans="17:29" x14ac:dyDescent="0.2">
      <c r="Q219" t="str">
        <f>Plant_Information!$B$6</f>
        <v>(INSERT VENDOR NAME HERE)</v>
      </c>
      <c r="R219" t="str">
        <f>'HAULING RATES- ODOT Locations'!$A$6</f>
        <v>District 1</v>
      </c>
      <c r="S219" t="str">
        <f>'HAULING RATES- ODOT Locations'!A15</f>
        <v>Van Wert</v>
      </c>
      <c r="T219" t="str">
        <f>'HAULING RATES- ODOT Locations'!B15</f>
        <v>10238 Van Wert-Decatur Rd., Van Wert 45891</v>
      </c>
      <c r="U219" t="str">
        <f>'HAULING RATES- ODOT Locations'!D$8</f>
        <v>Slag</v>
      </c>
      <c r="V219" s="146">
        <f>'HAULING RATES- ODOT Locations'!D15</f>
        <v>0</v>
      </c>
      <c r="W219" s="131" t="str">
        <f>+'Aggregate, Plant Pick-up'!$C$6</f>
        <v>LAFARGE-MARBLEHEAD "OSBORNE-CLEVELAND"</v>
      </c>
      <c r="X219" s="131" t="str">
        <f>+Plant_Information!$B$10</f>
        <v>04105-28</v>
      </c>
      <c r="Y219" s="131" t="str">
        <f>+Plant_Information!$B$11</f>
        <v>2100 CENTRAL FURNACE ROAD</v>
      </c>
      <c r="Z219" s="131" t="str">
        <f>+Plant_Information!$B$12</f>
        <v>CLEVELAND, OH, 44115</v>
      </c>
      <c r="AA219" s="131" t="str">
        <f>+Plant_Information!$B$13</f>
        <v>12</v>
      </c>
      <c r="AB219" s="131" t="str">
        <f>+Plant_Information!$B$14</f>
        <v>CUY</v>
      </c>
      <c r="AC219" s="70"/>
    </row>
    <row r="220" spans="17:29" x14ac:dyDescent="0.2">
      <c r="Q220" t="str">
        <f>Plant_Information!$B$6</f>
        <v>(INSERT VENDOR NAME HERE)</v>
      </c>
      <c r="R220" t="str">
        <f>'HAULING RATES- ODOT Locations'!$A$6</f>
        <v>District 1</v>
      </c>
      <c r="S220" t="str">
        <f>'HAULING RATES- ODOT Locations'!A16</f>
        <v>Wyandot</v>
      </c>
      <c r="T220" t="str">
        <f>'HAULING RATES- ODOT Locations'!B16</f>
        <v>10976 County Highway 121, Upper Sandusky 43351</v>
      </c>
      <c r="U220" t="str">
        <f>'HAULING RATES- ODOT Locations'!D$8</f>
        <v>Slag</v>
      </c>
      <c r="V220" s="146">
        <f>'HAULING RATES- ODOT Locations'!D16</f>
        <v>0</v>
      </c>
      <c r="W220" s="131" t="str">
        <f>+'Aggregate, Plant Pick-up'!$C$6</f>
        <v>LAFARGE-MARBLEHEAD "OSBORNE-CLEVELAND"</v>
      </c>
      <c r="X220" s="131" t="str">
        <f>+Plant_Information!$B$10</f>
        <v>04105-28</v>
      </c>
      <c r="Y220" s="131" t="str">
        <f>+Plant_Information!$B$11</f>
        <v>2100 CENTRAL FURNACE ROAD</v>
      </c>
      <c r="Z220" s="131" t="str">
        <f>+Plant_Information!$B$12</f>
        <v>CLEVELAND, OH, 44115</v>
      </c>
      <c r="AA220" s="131" t="str">
        <f>+Plant_Information!$B$13</f>
        <v>12</v>
      </c>
      <c r="AB220" s="131" t="str">
        <f>+Plant_Information!$B$14</f>
        <v>CUY</v>
      </c>
      <c r="AC220" s="70"/>
    </row>
    <row r="221" spans="17:29" x14ac:dyDescent="0.2">
      <c r="Q221" t="str">
        <f>Plant_Information!$B$6</f>
        <v>(INSERT VENDOR NAME HERE)</v>
      </c>
      <c r="R221" t="str">
        <f>'HAULING RATES- ODOT Locations'!$A$17</f>
        <v>District 2</v>
      </c>
      <c r="S221" t="str">
        <f>'HAULING RATES- ODOT Locations'!A20</f>
        <v>Fulton</v>
      </c>
      <c r="T221" t="str">
        <f>'HAULING RATES- ODOT Locations'!B20</f>
        <v>8878 State Route 108, Wauseon, Ohio 43567</v>
      </c>
      <c r="U221" t="str">
        <f>'HAULING RATES- ODOT Locations'!D$8</f>
        <v>Slag</v>
      </c>
      <c r="V221" s="146">
        <f>'HAULING RATES- ODOT Locations'!D20</f>
        <v>0</v>
      </c>
      <c r="W221" s="131" t="str">
        <f>+'Aggregate, Plant Pick-up'!$C$6</f>
        <v>LAFARGE-MARBLEHEAD "OSBORNE-CLEVELAND"</v>
      </c>
      <c r="X221" s="131" t="str">
        <f>+Plant_Information!$B$10</f>
        <v>04105-28</v>
      </c>
      <c r="Y221" s="131" t="str">
        <f>+Plant_Information!$B$11</f>
        <v>2100 CENTRAL FURNACE ROAD</v>
      </c>
      <c r="Z221" s="131" t="str">
        <f>+Plant_Information!$B$12</f>
        <v>CLEVELAND, OH, 44115</v>
      </c>
      <c r="AA221" s="131" t="str">
        <f>+Plant_Information!$B$13</f>
        <v>12</v>
      </c>
      <c r="AB221" s="131" t="str">
        <f>+Plant_Information!$B$14</f>
        <v>CUY</v>
      </c>
      <c r="AC221" s="70"/>
    </row>
    <row r="222" spans="17:29" x14ac:dyDescent="0.2">
      <c r="Q222" t="str">
        <f>Plant_Information!$B$6</f>
        <v>(INSERT VENDOR NAME HERE)</v>
      </c>
      <c r="R222" t="str">
        <f>'HAULING RATES- ODOT Locations'!$A$17</f>
        <v>District 2</v>
      </c>
      <c r="S222" t="str">
        <f>'HAULING RATES- ODOT Locations'!A21</f>
        <v>Henry</v>
      </c>
      <c r="T222" t="str">
        <f>'HAULING RATES- ODOT Locations'!B21</f>
        <v>9733 SR 110 Napoleon, Oh 43545</v>
      </c>
      <c r="U222" t="str">
        <f>'HAULING RATES- ODOT Locations'!D$8</f>
        <v>Slag</v>
      </c>
      <c r="V222" s="146">
        <f>'HAULING RATES- ODOT Locations'!D21</f>
        <v>0</v>
      </c>
      <c r="W222" s="131" t="str">
        <f>+'Aggregate, Plant Pick-up'!$C$6</f>
        <v>LAFARGE-MARBLEHEAD "OSBORNE-CLEVELAND"</v>
      </c>
      <c r="X222" s="131" t="str">
        <f>+Plant_Information!$B$10</f>
        <v>04105-28</v>
      </c>
      <c r="Y222" s="131" t="str">
        <f>+Plant_Information!$B$11</f>
        <v>2100 CENTRAL FURNACE ROAD</v>
      </c>
      <c r="Z222" s="131" t="str">
        <f>+Plant_Information!$B$12</f>
        <v>CLEVELAND, OH, 44115</v>
      </c>
      <c r="AA222" s="131" t="str">
        <f>+Plant_Information!$B$13</f>
        <v>12</v>
      </c>
      <c r="AB222" s="131" t="str">
        <f>+Plant_Information!$B$14</f>
        <v>CUY</v>
      </c>
      <c r="AC222" s="70"/>
    </row>
    <row r="223" spans="17:29" x14ac:dyDescent="0.2">
      <c r="Q223" t="str">
        <f>Plant_Information!$B$6</f>
        <v>(INSERT VENDOR NAME HERE)</v>
      </c>
      <c r="R223" t="str">
        <f>'HAULING RATES- ODOT Locations'!$A$17</f>
        <v>District 2</v>
      </c>
      <c r="S223" t="str">
        <f>'HAULING RATES- ODOT Locations'!A22</f>
        <v>Lucas</v>
      </c>
      <c r="T223" t="str">
        <f>'HAULING RATES- ODOT Locations'!B22</f>
        <v>4080 Technology Dr. Maumee, Oh 43537</v>
      </c>
      <c r="U223" t="str">
        <f>'HAULING RATES- ODOT Locations'!D$8</f>
        <v>Slag</v>
      </c>
      <c r="V223" s="146">
        <f>'HAULING RATES- ODOT Locations'!D22</f>
        <v>0</v>
      </c>
      <c r="W223" s="131" t="str">
        <f>+'Aggregate, Plant Pick-up'!$C$6</f>
        <v>LAFARGE-MARBLEHEAD "OSBORNE-CLEVELAND"</v>
      </c>
      <c r="X223" s="131" t="str">
        <f>+Plant_Information!$B$10</f>
        <v>04105-28</v>
      </c>
      <c r="Y223" s="131" t="str">
        <f>+Plant_Information!$B$11</f>
        <v>2100 CENTRAL FURNACE ROAD</v>
      </c>
      <c r="Z223" s="131" t="str">
        <f>+Plant_Information!$B$12</f>
        <v>CLEVELAND, OH, 44115</v>
      </c>
      <c r="AA223" s="131" t="str">
        <f>+Plant_Information!$B$13</f>
        <v>12</v>
      </c>
      <c r="AB223" s="131" t="str">
        <f>+Plant_Information!$B$14</f>
        <v>CUY</v>
      </c>
      <c r="AC223" s="70"/>
    </row>
    <row r="224" spans="17:29" x14ac:dyDescent="0.2">
      <c r="Q224" t="str">
        <f>Plant_Information!$B$6</f>
        <v>(INSERT VENDOR NAME HERE)</v>
      </c>
      <c r="R224" t="str">
        <f>'HAULING RATES- ODOT Locations'!$A$17</f>
        <v>District 2</v>
      </c>
      <c r="S224" t="str">
        <f>'HAULING RATES- ODOT Locations'!A23</f>
        <v>Ottawa</v>
      </c>
      <c r="T224" t="str">
        <f>'HAULING RATES- ODOT Locations'!B23</f>
        <v>307 S. Railroad St., Oak Harbor</v>
      </c>
      <c r="U224" t="str">
        <f>'HAULING RATES- ODOT Locations'!D$8</f>
        <v>Slag</v>
      </c>
      <c r="V224" s="146">
        <f>'HAULING RATES- ODOT Locations'!D23</f>
        <v>0</v>
      </c>
      <c r="W224" s="131" t="str">
        <f>+'Aggregate, Plant Pick-up'!$C$6</f>
        <v>LAFARGE-MARBLEHEAD "OSBORNE-CLEVELAND"</v>
      </c>
      <c r="X224" s="131" t="str">
        <f>+Plant_Information!$B$10</f>
        <v>04105-28</v>
      </c>
      <c r="Y224" s="131" t="str">
        <f>+Plant_Information!$B$11</f>
        <v>2100 CENTRAL FURNACE ROAD</v>
      </c>
      <c r="Z224" s="131" t="str">
        <f>+Plant_Information!$B$12</f>
        <v>CLEVELAND, OH, 44115</v>
      </c>
      <c r="AA224" s="131" t="str">
        <f>+Plant_Information!$B$13</f>
        <v>12</v>
      </c>
      <c r="AB224" s="131" t="str">
        <f>+Plant_Information!$B$14</f>
        <v>CUY</v>
      </c>
      <c r="AC224" s="70"/>
    </row>
    <row r="225" spans="17:29" x14ac:dyDescent="0.2">
      <c r="Q225" t="str">
        <f>Plant_Information!$B$6</f>
        <v>(INSERT VENDOR NAME HERE)</v>
      </c>
      <c r="R225" t="str">
        <f>'HAULING RATES- ODOT Locations'!$A$17</f>
        <v>District 2</v>
      </c>
      <c r="S225" t="str">
        <f>'HAULING RATES- ODOT Locations'!A24</f>
        <v>Ottawa</v>
      </c>
      <c r="T225" t="str">
        <f>'HAULING RATES- ODOT Locations'!B24</f>
        <v>Edison Bridge Outpost, 4560 E. Bayshore Rd. 43452, Port Clinton</v>
      </c>
      <c r="U225" t="str">
        <f>'HAULING RATES- ODOT Locations'!D$8</f>
        <v>Slag</v>
      </c>
      <c r="V225" s="146">
        <f>'HAULING RATES- ODOT Locations'!D24</f>
        <v>0</v>
      </c>
      <c r="W225" s="131" t="str">
        <f>+'Aggregate, Plant Pick-up'!$C$6</f>
        <v>LAFARGE-MARBLEHEAD "OSBORNE-CLEVELAND"</v>
      </c>
      <c r="X225" s="131" t="str">
        <f>+Plant_Information!$B$10</f>
        <v>04105-28</v>
      </c>
      <c r="Y225" s="131" t="str">
        <f>+Plant_Information!$B$11</f>
        <v>2100 CENTRAL FURNACE ROAD</v>
      </c>
      <c r="Z225" s="131" t="str">
        <f>+Plant_Information!$B$12</f>
        <v>CLEVELAND, OH, 44115</v>
      </c>
      <c r="AA225" s="131" t="str">
        <f>+Plant_Information!$B$13</f>
        <v>12</v>
      </c>
      <c r="AB225" s="131" t="str">
        <f>+Plant_Information!$B$14</f>
        <v>CUY</v>
      </c>
      <c r="AC225" s="70"/>
    </row>
    <row r="226" spans="17:29" x14ac:dyDescent="0.2">
      <c r="Q226" t="str">
        <f>Plant_Information!$B$6</f>
        <v>(INSERT VENDOR NAME HERE)</v>
      </c>
      <c r="R226" t="str">
        <f>'HAULING RATES- ODOT Locations'!$A$17</f>
        <v>District 2</v>
      </c>
      <c r="S226" t="str">
        <f>'HAULING RATES- ODOT Locations'!A25</f>
        <v>Sandusky</v>
      </c>
      <c r="T226" t="str">
        <f>'HAULING RATES- ODOT Locations'!B25</f>
        <v>1891 N. State Route 53, Fremont, Ohio 43420</v>
      </c>
      <c r="U226" t="str">
        <f>'HAULING RATES- ODOT Locations'!D$8</f>
        <v>Slag</v>
      </c>
      <c r="V226" s="146">
        <f>'HAULING RATES- ODOT Locations'!D25</f>
        <v>0</v>
      </c>
      <c r="W226" s="131" t="str">
        <f>+'Aggregate, Plant Pick-up'!$C$6</f>
        <v>LAFARGE-MARBLEHEAD "OSBORNE-CLEVELAND"</v>
      </c>
      <c r="X226" s="131" t="str">
        <f>+Plant_Information!$B$10</f>
        <v>04105-28</v>
      </c>
      <c r="Y226" s="131" t="str">
        <f>+Plant_Information!$B$11</f>
        <v>2100 CENTRAL FURNACE ROAD</v>
      </c>
      <c r="Z226" s="131" t="str">
        <f>+Plant_Information!$B$12</f>
        <v>CLEVELAND, OH, 44115</v>
      </c>
      <c r="AA226" s="131" t="str">
        <f>+Plant_Information!$B$13</f>
        <v>12</v>
      </c>
      <c r="AB226" s="131" t="str">
        <f>+Plant_Information!$B$14</f>
        <v>CUY</v>
      </c>
      <c r="AC226" s="70"/>
    </row>
    <row r="227" spans="17:29" x14ac:dyDescent="0.2">
      <c r="Q227" t="str">
        <f>Plant_Information!$B$6</f>
        <v>(INSERT VENDOR NAME HERE)</v>
      </c>
      <c r="R227" t="str">
        <f>'HAULING RATES- ODOT Locations'!$A$17</f>
        <v>District 2</v>
      </c>
      <c r="S227" t="str">
        <f>'HAULING RATES- ODOT Locations'!A26</f>
        <v>Seneca</v>
      </c>
      <c r="T227" t="str">
        <f>'HAULING RATES- ODOT Locations'!B26</f>
        <v>3390 S. SR 100, Tiffin</v>
      </c>
      <c r="U227" t="str">
        <f>'HAULING RATES- ODOT Locations'!D$8</f>
        <v>Slag</v>
      </c>
      <c r="V227" s="146">
        <f>'HAULING RATES- ODOT Locations'!D26</f>
        <v>0</v>
      </c>
      <c r="W227" s="131" t="str">
        <f>+'Aggregate, Plant Pick-up'!$C$6</f>
        <v>LAFARGE-MARBLEHEAD "OSBORNE-CLEVELAND"</v>
      </c>
      <c r="X227" s="131" t="str">
        <f>+Plant_Information!$B$10</f>
        <v>04105-28</v>
      </c>
      <c r="Y227" s="131" t="str">
        <f>+Plant_Information!$B$11</f>
        <v>2100 CENTRAL FURNACE ROAD</v>
      </c>
      <c r="Z227" s="131" t="str">
        <f>+Plant_Information!$B$12</f>
        <v>CLEVELAND, OH, 44115</v>
      </c>
      <c r="AA227" s="131" t="str">
        <f>+Plant_Information!$B$13</f>
        <v>12</v>
      </c>
      <c r="AB227" s="131" t="str">
        <f>+Plant_Information!$B$14</f>
        <v>CUY</v>
      </c>
      <c r="AC227" s="70"/>
    </row>
    <row r="228" spans="17:29" x14ac:dyDescent="0.2">
      <c r="Q228" t="str">
        <f>Plant_Information!$B$6</f>
        <v>(INSERT VENDOR NAME HERE)</v>
      </c>
      <c r="R228" t="str">
        <f>'HAULING RATES- ODOT Locations'!$A$17</f>
        <v>District 2</v>
      </c>
      <c r="S228" t="str">
        <f>'HAULING RATES- ODOT Locations'!A27</f>
        <v>Williams</v>
      </c>
      <c r="T228" t="str">
        <f>'HAULING RATES- ODOT Locations'!B27</f>
        <v>1825 Magda Dr., Montpelier</v>
      </c>
      <c r="U228" t="str">
        <f>'HAULING RATES- ODOT Locations'!D$8</f>
        <v>Slag</v>
      </c>
      <c r="V228" s="146">
        <f>'HAULING RATES- ODOT Locations'!D27</f>
        <v>0</v>
      </c>
      <c r="W228" s="131" t="str">
        <f>+'Aggregate, Plant Pick-up'!$C$6</f>
        <v>LAFARGE-MARBLEHEAD "OSBORNE-CLEVELAND"</v>
      </c>
      <c r="X228" s="131" t="str">
        <f>+Plant_Information!$B$10</f>
        <v>04105-28</v>
      </c>
      <c r="Y228" s="131" t="str">
        <f>+Plant_Information!$B$11</f>
        <v>2100 CENTRAL FURNACE ROAD</v>
      </c>
      <c r="Z228" s="131" t="str">
        <f>+Plant_Information!$B$12</f>
        <v>CLEVELAND, OH, 44115</v>
      </c>
      <c r="AA228" s="131" t="str">
        <f>+Plant_Information!$B$13</f>
        <v>12</v>
      </c>
      <c r="AB228" s="131" t="str">
        <f>+Plant_Information!$B$14</f>
        <v>CUY</v>
      </c>
      <c r="AC228" s="70"/>
    </row>
    <row r="229" spans="17:29" x14ac:dyDescent="0.2">
      <c r="Q229" t="str">
        <f>Plant_Information!$B$6</f>
        <v>(INSERT VENDOR NAME HERE)</v>
      </c>
      <c r="R229" t="str">
        <f>'HAULING RATES- ODOT Locations'!$A$17</f>
        <v>District 2</v>
      </c>
      <c r="S229" t="str">
        <f>'HAULING RATES- ODOT Locations'!A28</f>
        <v>Wood</v>
      </c>
      <c r="T229" t="str">
        <f>'HAULING RATES- ODOT Locations'!B28</f>
        <v>955 Mitchell Rd. Bowling Green, Oh 43402</v>
      </c>
      <c r="U229" t="str">
        <f>'HAULING RATES- ODOT Locations'!D$8</f>
        <v>Slag</v>
      </c>
      <c r="V229" s="146">
        <f>'HAULING RATES- ODOT Locations'!D28</f>
        <v>0</v>
      </c>
      <c r="W229" s="131" t="str">
        <f>+'Aggregate, Plant Pick-up'!$C$6</f>
        <v>LAFARGE-MARBLEHEAD "OSBORNE-CLEVELAND"</v>
      </c>
      <c r="X229" s="131" t="str">
        <f>+Plant_Information!$B$10</f>
        <v>04105-28</v>
      </c>
      <c r="Y229" s="131" t="str">
        <f>+Plant_Information!$B$11</f>
        <v>2100 CENTRAL FURNACE ROAD</v>
      </c>
      <c r="Z229" s="131" t="str">
        <f>+Plant_Information!$B$12</f>
        <v>CLEVELAND, OH, 44115</v>
      </c>
      <c r="AA229" s="131" t="str">
        <f>+Plant_Information!$B$13</f>
        <v>12</v>
      </c>
      <c r="AB229" s="131" t="str">
        <f>+Plant_Information!$B$14</f>
        <v>CUY</v>
      </c>
      <c r="AC229" s="70"/>
    </row>
    <row r="230" spans="17:29" x14ac:dyDescent="0.2">
      <c r="Q230" t="str">
        <f>Plant_Information!$B$6</f>
        <v>(INSERT VENDOR NAME HERE)</v>
      </c>
      <c r="R230" t="str">
        <f>'HAULING RATES- ODOT Locations'!$A$17</f>
        <v>District 2</v>
      </c>
      <c r="S230" t="str">
        <f>'HAULING RATES- ODOT Locations'!A29</f>
        <v>Wood</v>
      </c>
      <c r="T230" t="str">
        <f>'HAULING RATES- ODOT Locations'!B29</f>
        <v>1218 Business Park Dr. S, North Baltimore, OH 45872</v>
      </c>
      <c r="U230" t="str">
        <f>'HAULING RATES- ODOT Locations'!D$8</f>
        <v>Slag</v>
      </c>
      <c r="V230" s="146">
        <f>'HAULING RATES- ODOT Locations'!D29</f>
        <v>0</v>
      </c>
      <c r="W230" s="131" t="str">
        <f>+'Aggregate, Plant Pick-up'!$C$6</f>
        <v>LAFARGE-MARBLEHEAD "OSBORNE-CLEVELAND"</v>
      </c>
      <c r="X230" s="131" t="str">
        <f>+Plant_Information!$B$10</f>
        <v>04105-28</v>
      </c>
      <c r="Y230" s="131" t="str">
        <f>+Plant_Information!$B$11</f>
        <v>2100 CENTRAL FURNACE ROAD</v>
      </c>
      <c r="Z230" s="131" t="str">
        <f>+Plant_Information!$B$12</f>
        <v>CLEVELAND, OH, 44115</v>
      </c>
      <c r="AA230" s="131" t="str">
        <f>+Plant_Information!$B$13</f>
        <v>12</v>
      </c>
      <c r="AB230" s="131" t="str">
        <f>+Plant_Information!$B$14</f>
        <v>CUY</v>
      </c>
      <c r="AC230" s="70"/>
    </row>
    <row r="231" spans="17:29" x14ac:dyDescent="0.2">
      <c r="Q231" t="str">
        <f>Plant_Information!$B$6</f>
        <v>(INSERT VENDOR NAME HERE)</v>
      </c>
      <c r="R231" t="str">
        <f>'HAULING RATES- ODOT Locations'!$A$17</f>
        <v>District 2</v>
      </c>
      <c r="S231" t="str">
        <f>'HAULING RATES- ODOT Locations'!A30</f>
        <v>Wood</v>
      </c>
      <c r="T231" t="str">
        <f>'HAULING RATES- ODOT Locations'!B30</f>
        <v>200 Lemoyne Rd., Northwood</v>
      </c>
      <c r="U231" t="str">
        <f>'HAULING RATES- ODOT Locations'!D$8</f>
        <v>Slag</v>
      </c>
      <c r="V231" s="146">
        <f>'HAULING RATES- ODOT Locations'!D30</f>
        <v>0</v>
      </c>
      <c r="W231" s="131" t="str">
        <f>+'Aggregate, Plant Pick-up'!$C$6</f>
        <v>LAFARGE-MARBLEHEAD "OSBORNE-CLEVELAND"</v>
      </c>
      <c r="X231" s="131" t="str">
        <f>+Plant_Information!$B$10</f>
        <v>04105-28</v>
      </c>
      <c r="Y231" s="131" t="str">
        <f>+Plant_Information!$B$11</f>
        <v>2100 CENTRAL FURNACE ROAD</v>
      </c>
      <c r="Z231" s="131" t="str">
        <f>+Plant_Information!$B$12</f>
        <v>CLEVELAND, OH, 44115</v>
      </c>
      <c r="AA231" s="131" t="str">
        <f>+Plant_Information!$B$13</f>
        <v>12</v>
      </c>
      <c r="AB231" s="131" t="str">
        <f>+Plant_Information!$B$14</f>
        <v>CUY</v>
      </c>
      <c r="AC231" s="70"/>
    </row>
    <row r="232" spans="17:29" x14ac:dyDescent="0.2">
      <c r="Q232" t="str">
        <f>Plant_Information!$B$6</f>
        <v>(INSERT VENDOR NAME HERE)</v>
      </c>
      <c r="R232" t="str">
        <f>'HAULING RATES- ODOT Locations'!$A$31</f>
        <v>District 3</v>
      </c>
      <c r="S232" t="str">
        <f>'HAULING RATES- ODOT Locations'!A34</f>
        <v>Ashland</v>
      </c>
      <c r="T232" t="str">
        <f>'HAULING RATES- ODOT Locations'!B34</f>
        <v>946 N. Clark St., Ashland, OH 44805</v>
      </c>
      <c r="U232" t="str">
        <f>'HAULING RATES- ODOT Locations'!D$8</f>
        <v>Slag</v>
      </c>
      <c r="V232" s="146">
        <f>'HAULING RATES- ODOT Locations'!D34</f>
        <v>0</v>
      </c>
      <c r="W232" s="131" t="str">
        <f>+'Aggregate, Plant Pick-up'!$C$6</f>
        <v>LAFARGE-MARBLEHEAD "OSBORNE-CLEVELAND"</v>
      </c>
      <c r="X232" s="131" t="str">
        <f>+Plant_Information!$B$10</f>
        <v>04105-28</v>
      </c>
      <c r="Y232" s="131" t="str">
        <f>+Plant_Information!$B$11</f>
        <v>2100 CENTRAL FURNACE ROAD</v>
      </c>
      <c r="Z232" s="131" t="str">
        <f>+Plant_Information!$B$12</f>
        <v>CLEVELAND, OH, 44115</v>
      </c>
      <c r="AA232" s="131" t="str">
        <f>+Plant_Information!$B$13</f>
        <v>12</v>
      </c>
      <c r="AB232" s="131" t="str">
        <f>+Plant_Information!$B$14</f>
        <v>CUY</v>
      </c>
      <c r="AC232" s="70"/>
    </row>
    <row r="233" spans="17:29" x14ac:dyDescent="0.2">
      <c r="Q233" s="138" t="str">
        <f>Plant_Information!$B$6</f>
        <v>(INSERT VENDOR NAME HERE)</v>
      </c>
      <c r="R233" s="138" t="str">
        <f>'HAULING RATES- ODOT Locations'!$A$31</f>
        <v>District 3</v>
      </c>
      <c r="S233" s="138" t="str">
        <f>'HAULING RATES- ODOT Locations'!A35</f>
        <v>Ashland</v>
      </c>
      <c r="T233" s="138" t="str">
        <f>'HAULING RATES- ODOT Locations'!B35</f>
        <v>2595 St. Rt. 39, Perrysville, OH 44864</v>
      </c>
      <c r="U233" s="138" t="str">
        <f>'HAULING RATES- ODOT Locations'!D$8</f>
        <v>Slag</v>
      </c>
      <c r="V233" s="146">
        <f>'HAULING RATES- ODOT Locations'!D35</f>
        <v>0</v>
      </c>
      <c r="W233" s="141" t="str">
        <f>+'Aggregate, Plant Pick-up'!$C$6</f>
        <v>LAFARGE-MARBLEHEAD "OSBORNE-CLEVELAND"</v>
      </c>
      <c r="X233" s="141" t="str">
        <f>+Plant_Information!$B$10</f>
        <v>04105-28</v>
      </c>
      <c r="Y233" s="141" t="str">
        <f>+Plant_Information!$B$11</f>
        <v>2100 CENTRAL FURNACE ROAD</v>
      </c>
      <c r="Z233" s="141" t="str">
        <f>+Plant_Information!$B$12</f>
        <v>CLEVELAND, OH, 44115</v>
      </c>
      <c r="AA233" s="141" t="str">
        <f>+Plant_Information!$B$13</f>
        <v>12</v>
      </c>
      <c r="AB233" s="141" t="str">
        <f>+Plant_Information!$B$14</f>
        <v>CUY</v>
      </c>
      <c r="AC233" s="70"/>
    </row>
    <row r="234" spans="17:29" x14ac:dyDescent="0.2">
      <c r="Q234" t="str">
        <f>Plant_Information!$B$6</f>
        <v>(INSERT VENDOR NAME HERE)</v>
      </c>
      <c r="R234" t="str">
        <f>'HAULING RATES- ODOT Locations'!$A$31</f>
        <v>District 3</v>
      </c>
      <c r="S234" t="str">
        <f>'HAULING RATES- ODOT Locations'!A36</f>
        <v>Crawford</v>
      </c>
      <c r="T234" t="str">
        <f>'HAULING RATES- ODOT Locations'!B36</f>
        <v>275 Crossroads Blvd., Bucyrus OH 44820</v>
      </c>
      <c r="U234" t="str">
        <f>'HAULING RATES- ODOT Locations'!D$8</f>
        <v>Slag</v>
      </c>
      <c r="V234" s="146">
        <f>'HAULING RATES- ODOT Locations'!D36</f>
        <v>0</v>
      </c>
      <c r="W234" s="131" t="str">
        <f>+'Aggregate, Plant Pick-up'!$C$6</f>
        <v>LAFARGE-MARBLEHEAD "OSBORNE-CLEVELAND"</v>
      </c>
      <c r="X234" s="131" t="str">
        <f>+Plant_Information!$B$10</f>
        <v>04105-28</v>
      </c>
      <c r="Y234" s="131" t="str">
        <f>+Plant_Information!$B$11</f>
        <v>2100 CENTRAL FURNACE ROAD</v>
      </c>
      <c r="Z234" s="131" t="str">
        <f>+Plant_Information!$B$12</f>
        <v>CLEVELAND, OH, 44115</v>
      </c>
      <c r="AA234" s="131" t="str">
        <f>+Plant_Information!$B$13</f>
        <v>12</v>
      </c>
      <c r="AB234" s="131" t="str">
        <f>+Plant_Information!$B$14</f>
        <v>CUY</v>
      </c>
      <c r="AC234" s="70"/>
    </row>
    <row r="235" spans="17:29" x14ac:dyDescent="0.2">
      <c r="Q235" t="str">
        <f>Plant_Information!$B$6</f>
        <v>(INSERT VENDOR NAME HERE)</v>
      </c>
      <c r="R235" t="str">
        <f>'HAULING RATES- ODOT Locations'!$A$31</f>
        <v>District 3</v>
      </c>
      <c r="S235" t="str">
        <f>'HAULING RATES- ODOT Locations'!A37</f>
        <v>Erie</v>
      </c>
      <c r="T235" t="str">
        <f>'HAULING RATES- ODOT Locations'!B37</f>
        <v>165 South Huron St. , Milan, OH 44846</v>
      </c>
      <c r="U235" t="str">
        <f>'HAULING RATES- ODOT Locations'!D$8</f>
        <v>Slag</v>
      </c>
      <c r="V235" s="146">
        <f>'HAULING RATES- ODOT Locations'!D37</f>
        <v>0</v>
      </c>
      <c r="W235" s="131" t="str">
        <f>+'Aggregate, Plant Pick-up'!$C$6</f>
        <v>LAFARGE-MARBLEHEAD "OSBORNE-CLEVELAND"</v>
      </c>
      <c r="X235" s="131" t="str">
        <f>+Plant_Information!$B$10</f>
        <v>04105-28</v>
      </c>
      <c r="Y235" s="131" t="str">
        <f>+Plant_Information!$B$11</f>
        <v>2100 CENTRAL FURNACE ROAD</v>
      </c>
      <c r="Z235" s="131" t="str">
        <f>+Plant_Information!$B$12</f>
        <v>CLEVELAND, OH, 44115</v>
      </c>
      <c r="AA235" s="131" t="str">
        <f>+Plant_Information!$B$13</f>
        <v>12</v>
      </c>
      <c r="AB235" s="131" t="str">
        <f>+Plant_Information!$B$14</f>
        <v>CUY</v>
      </c>
      <c r="AC235" s="70"/>
    </row>
    <row r="236" spans="17:29" x14ac:dyDescent="0.2">
      <c r="Q236" t="str">
        <f>Plant_Information!$B$6</f>
        <v>(INSERT VENDOR NAME HERE)</v>
      </c>
      <c r="R236" t="str">
        <f>'HAULING RATES- ODOT Locations'!$A$31</f>
        <v>District 3</v>
      </c>
      <c r="S236" t="str">
        <f>'HAULING RATES- ODOT Locations'!A38</f>
        <v>Erie</v>
      </c>
      <c r="T236" t="str">
        <f>'HAULING RATES- ODOT Locations'!B38</f>
        <v>14420 Kneisel Rd., Vermilion, OH 44089</v>
      </c>
      <c r="U236" t="str">
        <f>'HAULING RATES- ODOT Locations'!D$8</f>
        <v>Slag</v>
      </c>
      <c r="V236" s="146">
        <f>'HAULING RATES- ODOT Locations'!D38</f>
        <v>0</v>
      </c>
      <c r="W236" s="131" t="str">
        <f>+'Aggregate, Plant Pick-up'!$C$6</f>
        <v>LAFARGE-MARBLEHEAD "OSBORNE-CLEVELAND"</v>
      </c>
      <c r="X236" s="131" t="str">
        <f>+Plant_Information!$B$10</f>
        <v>04105-28</v>
      </c>
      <c r="Y236" s="131" t="str">
        <f>+Plant_Information!$B$11</f>
        <v>2100 CENTRAL FURNACE ROAD</v>
      </c>
      <c r="Z236" s="131" t="str">
        <f>+Plant_Information!$B$12</f>
        <v>CLEVELAND, OH, 44115</v>
      </c>
      <c r="AA236" s="131" t="str">
        <f>+Plant_Information!$B$13</f>
        <v>12</v>
      </c>
      <c r="AB236" s="131" t="str">
        <f>+Plant_Information!$B$14</f>
        <v>CUY</v>
      </c>
      <c r="AC236" s="70"/>
    </row>
    <row r="237" spans="17:29" x14ac:dyDescent="0.2">
      <c r="Q237" t="str">
        <f>Plant_Information!$B$6</f>
        <v>(INSERT VENDOR NAME HERE)</v>
      </c>
      <c r="R237" t="str">
        <f>'HAULING RATES- ODOT Locations'!$A$31</f>
        <v>District 3</v>
      </c>
      <c r="S237" t="str">
        <f>'HAULING RATES- ODOT Locations'!A39</f>
        <v>Huron</v>
      </c>
      <c r="T237" t="str">
        <f>'HAULING RATES- ODOT Locations'!B39</f>
        <v>760 Dublin Rd., Norwalk, OH 44857</v>
      </c>
      <c r="U237" t="str">
        <f>'HAULING RATES- ODOT Locations'!D$8</f>
        <v>Slag</v>
      </c>
      <c r="V237" s="146">
        <f>'HAULING RATES- ODOT Locations'!D39</f>
        <v>0</v>
      </c>
      <c r="W237" s="131" t="str">
        <f>+'Aggregate, Plant Pick-up'!$C$6</f>
        <v>LAFARGE-MARBLEHEAD "OSBORNE-CLEVELAND"</v>
      </c>
      <c r="X237" s="131" t="str">
        <f>+Plant_Information!$B$10</f>
        <v>04105-28</v>
      </c>
      <c r="Y237" s="131" t="str">
        <f>+Plant_Information!$B$11</f>
        <v>2100 CENTRAL FURNACE ROAD</v>
      </c>
      <c r="Z237" s="131" t="str">
        <f>+Plant_Information!$B$12</f>
        <v>CLEVELAND, OH, 44115</v>
      </c>
      <c r="AA237" s="131" t="str">
        <f>+Plant_Information!$B$13</f>
        <v>12</v>
      </c>
      <c r="AB237" s="131" t="str">
        <f>+Plant_Information!$B$14</f>
        <v>CUY</v>
      </c>
      <c r="AC237" s="70"/>
    </row>
    <row r="238" spans="17:29" x14ac:dyDescent="0.2">
      <c r="Q238" s="138" t="str">
        <f>Plant_Information!$B$6</f>
        <v>(INSERT VENDOR NAME HERE)</v>
      </c>
      <c r="R238" s="138" t="str">
        <f>'HAULING RATES- ODOT Locations'!$A$31</f>
        <v>District 3</v>
      </c>
      <c r="S238" s="138" t="str">
        <f>'HAULING RATES- ODOT Locations'!A40</f>
        <v>Huron</v>
      </c>
      <c r="T238" s="138" t="str">
        <f>'HAULING RATES- ODOT Locations'!B40</f>
        <v>3000 Sandusky St. (route 61) Plymouth, Ohio 44865</v>
      </c>
      <c r="U238" s="138" t="str">
        <f>'HAULING RATES- ODOT Locations'!D$8</f>
        <v>Slag</v>
      </c>
      <c r="V238" s="146">
        <f>'HAULING RATES- ODOT Locations'!D40</f>
        <v>0</v>
      </c>
      <c r="W238" s="141" t="str">
        <f>+'Aggregate, Plant Pick-up'!$C$6</f>
        <v>LAFARGE-MARBLEHEAD "OSBORNE-CLEVELAND"</v>
      </c>
      <c r="X238" s="141" t="str">
        <f>+Plant_Information!$B$10</f>
        <v>04105-28</v>
      </c>
      <c r="Y238" s="141" t="str">
        <f>+Plant_Information!$B$11</f>
        <v>2100 CENTRAL FURNACE ROAD</v>
      </c>
      <c r="Z238" s="141" t="str">
        <f>+Plant_Information!$B$12</f>
        <v>CLEVELAND, OH, 44115</v>
      </c>
      <c r="AA238" s="141" t="str">
        <f>+Plant_Information!$B$13</f>
        <v>12</v>
      </c>
      <c r="AB238" s="141" t="str">
        <f>+Plant_Information!$B$14</f>
        <v>CUY</v>
      </c>
      <c r="AC238" s="70"/>
    </row>
    <row r="239" spans="17:29" x14ac:dyDescent="0.2">
      <c r="Q239" t="str">
        <f>Plant_Information!$B$6</f>
        <v>(INSERT VENDOR NAME HERE)</v>
      </c>
      <c r="R239" t="str">
        <f>'HAULING RATES- ODOT Locations'!$A$31</f>
        <v>District 3</v>
      </c>
      <c r="S239" t="str">
        <f>'HAULING RATES- ODOT Locations'!A41</f>
        <v>Lorain</v>
      </c>
      <c r="T239" t="str">
        <f>'HAULING RATES- ODOT Locations'!B41</f>
        <v>405 West Lorain St. &amp; S.R. 511, Oberlin, OH 44074</v>
      </c>
      <c r="U239" t="str">
        <f>'HAULING RATES- ODOT Locations'!D$8</f>
        <v>Slag</v>
      </c>
      <c r="V239" s="146">
        <f>'HAULING RATES- ODOT Locations'!D41</f>
        <v>0</v>
      </c>
      <c r="W239" s="131" t="str">
        <f>+'Aggregate, Plant Pick-up'!$C$6</f>
        <v>LAFARGE-MARBLEHEAD "OSBORNE-CLEVELAND"</v>
      </c>
      <c r="X239" s="131" t="str">
        <f>+Plant_Information!$B$10</f>
        <v>04105-28</v>
      </c>
      <c r="Y239" s="131" t="str">
        <f>+Plant_Information!$B$11</f>
        <v>2100 CENTRAL FURNACE ROAD</v>
      </c>
      <c r="Z239" s="131" t="str">
        <f>+Plant_Information!$B$12</f>
        <v>CLEVELAND, OH, 44115</v>
      </c>
      <c r="AA239" s="131" t="str">
        <f>+Plant_Information!$B$13</f>
        <v>12</v>
      </c>
      <c r="AB239" s="131" t="str">
        <f>+Plant_Information!$B$14</f>
        <v>CUY</v>
      </c>
      <c r="AC239" s="70"/>
    </row>
    <row r="240" spans="17:29" x14ac:dyDescent="0.2">
      <c r="Q240" t="str">
        <f>Plant_Information!$B$6</f>
        <v>(INSERT VENDOR NAME HERE)</v>
      </c>
      <c r="R240" t="str">
        <f>'HAULING RATES- ODOT Locations'!$A$31</f>
        <v>District 3</v>
      </c>
      <c r="S240" t="str">
        <f>'HAULING RATES- ODOT Locations'!A42</f>
        <v>Lorain</v>
      </c>
      <c r="T240" t="str">
        <f>'HAULING RATES- ODOT Locations'!B42</f>
        <v>1749 Moore Rd., Avon, OH 44011</v>
      </c>
      <c r="U240" t="str">
        <f>'HAULING RATES- ODOT Locations'!D$8</f>
        <v>Slag</v>
      </c>
      <c r="V240" s="146">
        <f>'HAULING RATES- ODOT Locations'!D42</f>
        <v>0</v>
      </c>
      <c r="W240" s="131" t="str">
        <f>+'Aggregate, Plant Pick-up'!$C$6</f>
        <v>LAFARGE-MARBLEHEAD "OSBORNE-CLEVELAND"</v>
      </c>
      <c r="X240" s="131" t="str">
        <f>+Plant_Information!$B$10</f>
        <v>04105-28</v>
      </c>
      <c r="Y240" s="131" t="str">
        <f>+Plant_Information!$B$11</f>
        <v>2100 CENTRAL FURNACE ROAD</v>
      </c>
      <c r="Z240" s="131" t="str">
        <f>+Plant_Information!$B$12</f>
        <v>CLEVELAND, OH, 44115</v>
      </c>
      <c r="AA240" s="131" t="str">
        <f>+Plant_Information!$B$13</f>
        <v>12</v>
      </c>
      <c r="AB240" s="131" t="str">
        <f>+Plant_Information!$B$14</f>
        <v>CUY</v>
      </c>
      <c r="AC240" s="70"/>
    </row>
    <row r="241" spans="17:29" x14ac:dyDescent="0.2">
      <c r="Q241" s="138" t="str">
        <f>Plant_Information!$B$6</f>
        <v>(INSERT VENDOR NAME HERE)</v>
      </c>
      <c r="R241" s="138" t="str">
        <f>'HAULING RATES- ODOT Locations'!$A$31</f>
        <v>District 3</v>
      </c>
      <c r="S241" s="138" t="str">
        <f>'HAULING RATES- ODOT Locations'!A43</f>
        <v>Lorain</v>
      </c>
      <c r="T241" s="138" t="str">
        <f>'HAULING RATES- ODOT Locations'!B43</f>
        <v>1654 South Avon Belden Road, Grafton, Ohio 44044</v>
      </c>
      <c r="U241" s="138" t="str">
        <f>'HAULING RATES- ODOT Locations'!D$8</f>
        <v>Slag</v>
      </c>
      <c r="V241" s="146">
        <f>'HAULING RATES- ODOT Locations'!D43</f>
        <v>0</v>
      </c>
      <c r="W241" s="141" t="str">
        <f>+'Aggregate, Plant Pick-up'!$C$6</f>
        <v>LAFARGE-MARBLEHEAD "OSBORNE-CLEVELAND"</v>
      </c>
      <c r="X241" s="141" t="str">
        <f>+Plant_Information!$B$10</f>
        <v>04105-28</v>
      </c>
      <c r="Y241" s="141" t="str">
        <f>+Plant_Information!$B$11</f>
        <v>2100 CENTRAL FURNACE ROAD</v>
      </c>
      <c r="Z241" s="141" t="str">
        <f>+Plant_Information!$B$12</f>
        <v>CLEVELAND, OH, 44115</v>
      </c>
      <c r="AA241" s="141" t="str">
        <f>+Plant_Information!$B$13</f>
        <v>12</v>
      </c>
      <c r="AB241" s="141" t="str">
        <f>+Plant_Information!$B$14</f>
        <v>CUY</v>
      </c>
      <c r="AC241" s="70"/>
    </row>
    <row r="242" spans="17:29" x14ac:dyDescent="0.2">
      <c r="Q242" t="str">
        <f>Plant_Information!$B$6</f>
        <v>(INSERT VENDOR NAME HERE)</v>
      </c>
      <c r="R242" t="str">
        <f>'HAULING RATES- ODOT Locations'!$A$31</f>
        <v>District 3</v>
      </c>
      <c r="S242" t="str">
        <f>'HAULING RATES- ODOT Locations'!A44</f>
        <v>Medina</v>
      </c>
      <c r="T242" t="str">
        <f>'HAULING RATES- ODOT Locations'!B44</f>
        <v>3220 Medina Rd. &amp; St. Rt. 18, Medina, OH 44256</v>
      </c>
      <c r="U242" t="str">
        <f>'HAULING RATES- ODOT Locations'!D$8</f>
        <v>Slag</v>
      </c>
      <c r="V242" s="146">
        <f>'HAULING RATES- ODOT Locations'!D44</f>
        <v>0</v>
      </c>
      <c r="W242" s="131" t="str">
        <f>+'Aggregate, Plant Pick-up'!$C$6</f>
        <v>LAFARGE-MARBLEHEAD "OSBORNE-CLEVELAND"</v>
      </c>
      <c r="X242" s="131" t="str">
        <f>+Plant_Information!$B$10</f>
        <v>04105-28</v>
      </c>
      <c r="Y242" s="131" t="str">
        <f>+Plant_Information!$B$11</f>
        <v>2100 CENTRAL FURNACE ROAD</v>
      </c>
      <c r="Z242" s="131" t="str">
        <f>+Plant_Information!$B$12</f>
        <v>CLEVELAND, OH, 44115</v>
      </c>
      <c r="AA242" s="131" t="str">
        <f>+Plant_Information!$B$13</f>
        <v>12</v>
      </c>
      <c r="AB242" s="131" t="str">
        <f>+Plant_Information!$B$14</f>
        <v>CUY</v>
      </c>
      <c r="AC242" s="70"/>
    </row>
    <row r="243" spans="17:29" x14ac:dyDescent="0.2">
      <c r="Q243" t="str">
        <f>Plant_Information!$B$6</f>
        <v>(INSERT VENDOR NAME HERE)</v>
      </c>
      <c r="R243" t="str">
        <f>'HAULING RATES- ODOT Locations'!$A$31</f>
        <v>District 3</v>
      </c>
      <c r="S243" t="str">
        <f>'HAULING RATES- ODOT Locations'!A45</f>
        <v>Medina</v>
      </c>
      <c r="T243" t="str">
        <f>'HAULING RATES- ODOT Locations'!B45</f>
        <v>10224 Avon Lake Rd, Burbank, OH 44214</v>
      </c>
      <c r="U243" t="str">
        <f>'HAULING RATES- ODOT Locations'!D$8</f>
        <v>Slag</v>
      </c>
      <c r="V243" s="146">
        <f>'HAULING RATES- ODOT Locations'!D45</f>
        <v>0</v>
      </c>
      <c r="W243" s="131" t="str">
        <f>+'Aggregate, Plant Pick-up'!$C$6</f>
        <v>LAFARGE-MARBLEHEAD "OSBORNE-CLEVELAND"</v>
      </c>
      <c r="X243" s="131" t="str">
        <f>+Plant_Information!$B$10</f>
        <v>04105-28</v>
      </c>
      <c r="Y243" s="131" t="str">
        <f>+Plant_Information!$B$11</f>
        <v>2100 CENTRAL FURNACE ROAD</v>
      </c>
      <c r="Z243" s="131" t="str">
        <f>+Plant_Information!$B$12</f>
        <v>CLEVELAND, OH, 44115</v>
      </c>
      <c r="AA243" s="131" t="str">
        <f>+Plant_Information!$B$13</f>
        <v>12</v>
      </c>
      <c r="AB243" s="131" t="str">
        <f>+Plant_Information!$B$14</f>
        <v>CUY</v>
      </c>
      <c r="AC243" s="70"/>
    </row>
    <row r="244" spans="17:29" x14ac:dyDescent="0.2">
      <c r="Q244" s="138" t="str">
        <f>Plant_Information!$B$6</f>
        <v>(INSERT VENDOR NAME HERE)</v>
      </c>
      <c r="R244" s="138" t="str">
        <f>'HAULING RATES- ODOT Locations'!$A$31</f>
        <v>District 3</v>
      </c>
      <c r="S244" s="138" t="str">
        <f>'HAULING RATES- ODOT Locations'!A46</f>
        <v>Medina</v>
      </c>
      <c r="T244" s="138" t="str">
        <f>'HAULING RATES- ODOT Locations'!B46</f>
        <v>4993 Atlantic Drive Seville Ohio, 44273</v>
      </c>
      <c r="U244" s="138" t="str">
        <f>'HAULING RATES- ODOT Locations'!D$8</f>
        <v>Slag</v>
      </c>
      <c r="V244" s="146">
        <f>'HAULING RATES- ODOT Locations'!D46</f>
        <v>0</v>
      </c>
      <c r="W244" s="141" t="str">
        <f>+'Aggregate, Plant Pick-up'!$C$6</f>
        <v>LAFARGE-MARBLEHEAD "OSBORNE-CLEVELAND"</v>
      </c>
      <c r="X244" s="141" t="str">
        <f>+Plant_Information!$B$10</f>
        <v>04105-28</v>
      </c>
      <c r="Y244" s="141" t="str">
        <f>+Plant_Information!$B$11</f>
        <v>2100 CENTRAL FURNACE ROAD</v>
      </c>
      <c r="Z244" s="141" t="str">
        <f>+Plant_Information!$B$12</f>
        <v>CLEVELAND, OH, 44115</v>
      </c>
      <c r="AA244" s="141" t="str">
        <f>+Plant_Information!$B$13</f>
        <v>12</v>
      </c>
      <c r="AB244" s="141" t="str">
        <f>+Plant_Information!$B$14</f>
        <v>CUY</v>
      </c>
      <c r="AC244" s="70"/>
    </row>
    <row r="245" spans="17:29" x14ac:dyDescent="0.2">
      <c r="Q245" t="str">
        <f>Plant_Information!$B$6</f>
        <v>(INSERT VENDOR NAME HERE)</v>
      </c>
      <c r="R245" t="str">
        <f>'HAULING RATES- ODOT Locations'!$A$31</f>
        <v>District 3</v>
      </c>
      <c r="S245" t="str">
        <f>'HAULING RATES- ODOT Locations'!A47</f>
        <v>Richland</v>
      </c>
      <c r="T245" t="str">
        <f>'HAULING RATES- ODOT Locations'!B47</f>
        <v>1256 West 4th St., Mansfield, OH 44906</v>
      </c>
      <c r="U245" t="str">
        <f>'HAULING RATES- ODOT Locations'!D$8</f>
        <v>Slag</v>
      </c>
      <c r="V245" s="146">
        <f>'HAULING RATES- ODOT Locations'!D47</f>
        <v>0</v>
      </c>
      <c r="W245" s="131" t="str">
        <f>+'Aggregate, Plant Pick-up'!$C$6</f>
        <v>LAFARGE-MARBLEHEAD "OSBORNE-CLEVELAND"</v>
      </c>
      <c r="X245" s="131" t="str">
        <f>+Plant_Information!$B$10</f>
        <v>04105-28</v>
      </c>
      <c r="Y245" s="131" t="str">
        <f>+Plant_Information!$B$11</f>
        <v>2100 CENTRAL FURNACE ROAD</v>
      </c>
      <c r="Z245" s="131" t="str">
        <f>+Plant_Information!$B$12</f>
        <v>CLEVELAND, OH, 44115</v>
      </c>
      <c r="AA245" s="131" t="str">
        <f>+Plant_Information!$B$13</f>
        <v>12</v>
      </c>
      <c r="AB245" s="131" t="str">
        <f>+Plant_Information!$B$14</f>
        <v>CUY</v>
      </c>
      <c r="AC245" s="70"/>
    </row>
    <row r="246" spans="17:29" x14ac:dyDescent="0.2">
      <c r="Q246" t="str">
        <f>Plant_Information!$B$6</f>
        <v>(INSERT VENDOR NAME HERE)</v>
      </c>
      <c r="R246" t="str">
        <f>'HAULING RATES- ODOT Locations'!$A$31</f>
        <v>District 3</v>
      </c>
      <c r="S246" t="str">
        <f>'HAULING RATES- ODOT Locations'!A48</f>
        <v>Richland</v>
      </c>
      <c r="T246" t="str">
        <f>'HAULING RATES- ODOT Locations'!B48</f>
        <v>Lexington OP, 808 Kochheiser Rd., Bellville,, OH 44813</v>
      </c>
      <c r="U246" t="str">
        <f>'HAULING RATES- ODOT Locations'!D$8</f>
        <v>Slag</v>
      </c>
      <c r="V246" s="146">
        <f>'HAULING RATES- ODOT Locations'!D48</f>
        <v>0</v>
      </c>
      <c r="W246" s="131" t="str">
        <f>+'Aggregate, Plant Pick-up'!$C$6</f>
        <v>LAFARGE-MARBLEHEAD "OSBORNE-CLEVELAND"</v>
      </c>
      <c r="X246" s="131" t="str">
        <f>+Plant_Information!$B$10</f>
        <v>04105-28</v>
      </c>
      <c r="Y246" s="131" t="str">
        <f>+Plant_Information!$B$11</f>
        <v>2100 CENTRAL FURNACE ROAD</v>
      </c>
      <c r="Z246" s="131" t="str">
        <f>+Plant_Information!$B$12</f>
        <v>CLEVELAND, OH, 44115</v>
      </c>
      <c r="AA246" s="131" t="str">
        <f>+Plant_Information!$B$13</f>
        <v>12</v>
      </c>
      <c r="AB246" s="131" t="str">
        <f>+Plant_Information!$B$14</f>
        <v>CUY</v>
      </c>
      <c r="AC246" s="70"/>
    </row>
    <row r="247" spans="17:29" x14ac:dyDescent="0.2">
      <c r="Q247" t="str">
        <f>Plant_Information!$B$6</f>
        <v>(INSERT VENDOR NAME HERE)</v>
      </c>
      <c r="R247" t="str">
        <f>'HAULING RATES- ODOT Locations'!$A$31</f>
        <v>District 3</v>
      </c>
      <c r="S247" t="str">
        <f>'HAULING RATES- ODOT Locations'!A49</f>
        <v>Wayne</v>
      </c>
      <c r="T247" t="str">
        <f>'HAULING RATES- ODOT Locations'!B49</f>
        <v>1661 Geyers Chapel Rd., Wooster, OH 44691</v>
      </c>
      <c r="U247" t="str">
        <f>'HAULING RATES- ODOT Locations'!D$8</f>
        <v>Slag</v>
      </c>
      <c r="V247" s="146">
        <f>'HAULING RATES- ODOT Locations'!D49</f>
        <v>0</v>
      </c>
      <c r="W247" s="131" t="str">
        <f>+'Aggregate, Plant Pick-up'!$C$6</f>
        <v>LAFARGE-MARBLEHEAD "OSBORNE-CLEVELAND"</v>
      </c>
      <c r="X247" s="131" t="str">
        <f>+Plant_Information!$B$10</f>
        <v>04105-28</v>
      </c>
      <c r="Y247" s="131" t="str">
        <f>+Plant_Information!$B$11</f>
        <v>2100 CENTRAL FURNACE ROAD</v>
      </c>
      <c r="Z247" s="131" t="str">
        <f>+Plant_Information!$B$12</f>
        <v>CLEVELAND, OH, 44115</v>
      </c>
      <c r="AA247" s="131" t="str">
        <f>+Plant_Information!$B$13</f>
        <v>12</v>
      </c>
      <c r="AB247" s="131" t="str">
        <f>+Plant_Information!$B$14</f>
        <v>CUY</v>
      </c>
      <c r="AC247" s="70"/>
    </row>
    <row r="248" spans="17:29" x14ac:dyDescent="0.2">
      <c r="Q248" t="str">
        <f>Plant_Information!$B$6</f>
        <v>(INSERT VENDOR NAME HERE)</v>
      </c>
      <c r="R248" t="str">
        <f>'HAULING RATES- ODOT Locations'!$A$50</f>
        <v>District 4</v>
      </c>
      <c r="S248" t="str">
        <f>'HAULING RATES- ODOT Locations'!A53</f>
        <v>Ashtabula</v>
      </c>
      <c r="T248" t="str">
        <f>'HAULING RATES- ODOT Locations'!B53</f>
        <v>492 Seven Hills Rd., Ashtabula, OH  44004</v>
      </c>
      <c r="U248" t="str">
        <f>'HAULING RATES- ODOT Locations'!D$8</f>
        <v>Slag</v>
      </c>
      <c r="V248" s="146">
        <f>'HAULING RATES- ODOT Locations'!D53</f>
        <v>0</v>
      </c>
      <c r="W248" s="131" t="str">
        <f>+'Aggregate, Plant Pick-up'!$C$6</f>
        <v>LAFARGE-MARBLEHEAD "OSBORNE-CLEVELAND"</v>
      </c>
      <c r="X248" s="131" t="str">
        <f>+Plant_Information!$B$10</f>
        <v>04105-28</v>
      </c>
      <c r="Y248" s="131" t="str">
        <f>+Plant_Information!$B$11</f>
        <v>2100 CENTRAL FURNACE ROAD</v>
      </c>
      <c r="Z248" s="131" t="str">
        <f>+Plant_Information!$B$12</f>
        <v>CLEVELAND, OH, 44115</v>
      </c>
      <c r="AA248" s="131" t="str">
        <f>+Plant_Information!$B$13</f>
        <v>12</v>
      </c>
      <c r="AB248" s="131" t="str">
        <f>+Plant_Information!$B$14</f>
        <v>CUY</v>
      </c>
      <c r="AC248" s="70"/>
    </row>
    <row r="249" spans="17:29" x14ac:dyDescent="0.2">
      <c r="Q249" t="str">
        <f>Plant_Information!$B$6</f>
        <v>(INSERT VENDOR NAME HERE)</v>
      </c>
      <c r="R249" t="str">
        <f>'HAULING RATES- ODOT Locations'!$A$50</f>
        <v>District 4</v>
      </c>
      <c r="S249" t="str">
        <f>'HAULING RATES- ODOT Locations'!A54</f>
        <v>Ashtabula</v>
      </c>
      <c r="T249" t="str">
        <f>'HAULING RATES- ODOT Locations'!B54</f>
        <v>879 SR 7, Conneaut, OH  44030</v>
      </c>
      <c r="U249" t="str">
        <f>'HAULING RATES- ODOT Locations'!D$8</f>
        <v>Slag</v>
      </c>
      <c r="V249" s="146">
        <f>'HAULING RATES- ODOT Locations'!D54</f>
        <v>0</v>
      </c>
      <c r="W249" s="131" t="str">
        <f>+'Aggregate, Plant Pick-up'!$C$6</f>
        <v>LAFARGE-MARBLEHEAD "OSBORNE-CLEVELAND"</v>
      </c>
      <c r="X249" s="131" t="str">
        <f>+Plant_Information!$B$10</f>
        <v>04105-28</v>
      </c>
      <c r="Y249" s="131" t="str">
        <f>+Plant_Information!$B$11</f>
        <v>2100 CENTRAL FURNACE ROAD</v>
      </c>
      <c r="Z249" s="131" t="str">
        <f>+Plant_Information!$B$12</f>
        <v>CLEVELAND, OH, 44115</v>
      </c>
      <c r="AA249" s="131" t="str">
        <f>+Plant_Information!$B$13</f>
        <v>12</v>
      </c>
      <c r="AB249" s="131" t="str">
        <f>+Plant_Information!$B$14</f>
        <v>CUY</v>
      </c>
      <c r="AC249" s="70"/>
    </row>
    <row r="250" spans="17:29" x14ac:dyDescent="0.2">
      <c r="Q250" t="str">
        <f>Plant_Information!$B$6</f>
        <v>(INSERT VENDOR NAME HERE)</v>
      </c>
      <c r="R250" t="str">
        <f>'HAULING RATES- ODOT Locations'!$A$50</f>
        <v>District 4</v>
      </c>
      <c r="S250" t="str">
        <f>'HAULING RATES- ODOT Locations'!A55</f>
        <v>Ashtabula</v>
      </c>
      <c r="T250" t="str">
        <f>'HAULING RATES- ODOT Locations'!B55</f>
        <v>2325 SR 193, Dorset, OH   44032</v>
      </c>
      <c r="U250" t="str">
        <f>'HAULING RATES- ODOT Locations'!D$8</f>
        <v>Slag</v>
      </c>
      <c r="V250" s="146">
        <f>'HAULING RATES- ODOT Locations'!D55</f>
        <v>0</v>
      </c>
      <c r="W250" s="131" t="str">
        <f>+'Aggregate, Plant Pick-up'!$C$6</f>
        <v>LAFARGE-MARBLEHEAD "OSBORNE-CLEVELAND"</v>
      </c>
      <c r="X250" s="131" t="str">
        <f>+Plant_Information!$B$10</f>
        <v>04105-28</v>
      </c>
      <c r="Y250" s="131" t="str">
        <f>+Plant_Information!$B$11</f>
        <v>2100 CENTRAL FURNACE ROAD</v>
      </c>
      <c r="Z250" s="131" t="str">
        <f>+Plant_Information!$B$12</f>
        <v>CLEVELAND, OH, 44115</v>
      </c>
      <c r="AA250" s="131" t="str">
        <f>+Plant_Information!$B$13</f>
        <v>12</v>
      </c>
      <c r="AB250" s="131" t="str">
        <f>+Plant_Information!$B$14</f>
        <v>CUY</v>
      </c>
      <c r="AC250" s="70"/>
    </row>
    <row r="251" spans="17:29" x14ac:dyDescent="0.2">
      <c r="Q251" t="str">
        <f>Plant_Information!$B$6</f>
        <v>(INSERT VENDOR NAME HERE)</v>
      </c>
      <c r="R251" t="str">
        <f>'HAULING RATES- ODOT Locations'!$A$50</f>
        <v>District 4</v>
      </c>
      <c r="S251" t="str">
        <f>'HAULING RATES- ODOT Locations'!A56</f>
        <v>Ashtabula</v>
      </c>
      <c r="T251" t="str">
        <f>'HAULING RATES- ODOT Locations'!B56</f>
        <v>Harpersfield OP, 5420 SR 534, Geneva, OH    44041</v>
      </c>
      <c r="U251" t="str">
        <f>'HAULING RATES- ODOT Locations'!D$8</f>
        <v>Slag</v>
      </c>
      <c r="V251" s="146">
        <f>'HAULING RATES- ODOT Locations'!D56</f>
        <v>0</v>
      </c>
      <c r="W251" s="131" t="str">
        <f>+'Aggregate, Plant Pick-up'!$C$6</f>
        <v>LAFARGE-MARBLEHEAD "OSBORNE-CLEVELAND"</v>
      </c>
      <c r="X251" s="131" t="str">
        <f>+Plant_Information!$B$10</f>
        <v>04105-28</v>
      </c>
      <c r="Y251" s="131" t="str">
        <f>+Plant_Information!$B$11</f>
        <v>2100 CENTRAL FURNACE ROAD</v>
      </c>
      <c r="Z251" s="131" t="str">
        <f>+Plant_Information!$B$12</f>
        <v>CLEVELAND, OH, 44115</v>
      </c>
      <c r="AA251" s="131" t="str">
        <f>+Plant_Information!$B$13</f>
        <v>12</v>
      </c>
      <c r="AB251" s="131" t="str">
        <f>+Plant_Information!$B$14</f>
        <v>CUY</v>
      </c>
      <c r="AC251" s="70"/>
    </row>
    <row r="252" spans="17:29" x14ac:dyDescent="0.2">
      <c r="Q252" t="str">
        <f>Plant_Information!$B$6</f>
        <v>(INSERT VENDOR NAME HERE)</v>
      </c>
      <c r="R252" t="str">
        <f>'HAULING RATES- ODOT Locations'!$A$50</f>
        <v>District 4</v>
      </c>
      <c r="S252" t="str">
        <f>'HAULING RATES- ODOT Locations'!A57</f>
        <v>Ashtabula</v>
      </c>
      <c r="T252" t="str">
        <f>'HAULING RATES- ODOT Locations'!B57</f>
        <v>5451 SR 45, Rome, OH   44085</v>
      </c>
      <c r="U252" t="str">
        <f>'HAULING RATES- ODOT Locations'!D$8</f>
        <v>Slag</v>
      </c>
      <c r="V252" s="146">
        <f>'HAULING RATES- ODOT Locations'!D57</f>
        <v>0</v>
      </c>
      <c r="W252" s="131" t="str">
        <f>+'Aggregate, Plant Pick-up'!$C$6</f>
        <v>LAFARGE-MARBLEHEAD "OSBORNE-CLEVELAND"</v>
      </c>
      <c r="X252" s="131" t="str">
        <f>+Plant_Information!$B$10</f>
        <v>04105-28</v>
      </c>
      <c r="Y252" s="131" t="str">
        <f>+Plant_Information!$B$11</f>
        <v>2100 CENTRAL FURNACE ROAD</v>
      </c>
      <c r="Z252" s="131" t="str">
        <f>+Plant_Information!$B$12</f>
        <v>CLEVELAND, OH, 44115</v>
      </c>
      <c r="AA252" s="131" t="str">
        <f>+Plant_Information!$B$13</f>
        <v>12</v>
      </c>
      <c r="AB252" s="131" t="str">
        <f>+Plant_Information!$B$14</f>
        <v>CUY</v>
      </c>
      <c r="AC252" s="70"/>
    </row>
    <row r="253" spans="17:29" x14ac:dyDescent="0.2">
      <c r="Q253" t="str">
        <f>Plant_Information!$B$6</f>
        <v>(INSERT VENDOR NAME HERE)</v>
      </c>
      <c r="R253" t="str">
        <f>'HAULING RATES- ODOT Locations'!$A$50</f>
        <v>District 4</v>
      </c>
      <c r="S253" t="str">
        <f>'HAULING RATES- ODOT Locations'!A58</f>
        <v>Ashtabula</v>
      </c>
      <c r="T253" t="str">
        <f>'HAULING RATES- ODOT Locations'!B58</f>
        <v>5820 SR 322, Williamsfield, OH  44093</v>
      </c>
      <c r="U253" t="str">
        <f>'HAULING RATES- ODOT Locations'!D$8</f>
        <v>Slag</v>
      </c>
      <c r="V253" s="146">
        <f>'HAULING RATES- ODOT Locations'!D58</f>
        <v>0</v>
      </c>
      <c r="W253" s="131" t="str">
        <f>+'Aggregate, Plant Pick-up'!$C$6</f>
        <v>LAFARGE-MARBLEHEAD "OSBORNE-CLEVELAND"</v>
      </c>
      <c r="X253" s="131" t="str">
        <f>+Plant_Information!$B$10</f>
        <v>04105-28</v>
      </c>
      <c r="Y253" s="131" t="str">
        <f>+Plant_Information!$B$11</f>
        <v>2100 CENTRAL FURNACE ROAD</v>
      </c>
      <c r="Z253" s="131" t="str">
        <f>+Plant_Information!$B$12</f>
        <v>CLEVELAND, OH, 44115</v>
      </c>
      <c r="AA253" s="131" t="str">
        <f>+Plant_Information!$B$13</f>
        <v>12</v>
      </c>
      <c r="AB253" s="131" t="str">
        <f>+Plant_Information!$B$14</f>
        <v>CUY</v>
      </c>
      <c r="AC253" s="70"/>
    </row>
    <row r="254" spans="17:29" x14ac:dyDescent="0.2">
      <c r="Q254" t="str">
        <f>Plant_Information!$B$6</f>
        <v>(INSERT VENDOR NAME HERE)</v>
      </c>
      <c r="R254" t="str">
        <f>'HAULING RATES- ODOT Locations'!$A$50</f>
        <v>District 4</v>
      </c>
      <c r="S254" t="str">
        <f>'HAULING RATES- ODOT Locations'!A59</f>
        <v>Mahoning</v>
      </c>
      <c r="T254" t="str">
        <f>'HAULING RATES- ODOT Locations'!B59</f>
        <v>401 W. Main St., Canfield, OH  44406</v>
      </c>
      <c r="U254" t="str">
        <f>'HAULING RATES- ODOT Locations'!D$8</f>
        <v>Slag</v>
      </c>
      <c r="V254" s="146">
        <f>'HAULING RATES- ODOT Locations'!D59</f>
        <v>0</v>
      </c>
      <c r="W254" s="131" t="str">
        <f>+'Aggregate, Plant Pick-up'!$C$6</f>
        <v>LAFARGE-MARBLEHEAD "OSBORNE-CLEVELAND"</v>
      </c>
      <c r="X254" s="131" t="str">
        <f>+Plant_Information!$B$10</f>
        <v>04105-28</v>
      </c>
      <c r="Y254" s="131" t="str">
        <f>+Plant_Information!$B$11</f>
        <v>2100 CENTRAL FURNACE ROAD</v>
      </c>
      <c r="Z254" s="131" t="str">
        <f>+Plant_Information!$B$12</f>
        <v>CLEVELAND, OH, 44115</v>
      </c>
      <c r="AA254" s="131" t="str">
        <f>+Plant_Information!$B$13</f>
        <v>12</v>
      </c>
      <c r="AB254" s="131" t="str">
        <f>+Plant_Information!$B$14</f>
        <v>CUY</v>
      </c>
      <c r="AC254" s="70"/>
    </row>
    <row r="255" spans="17:29" x14ac:dyDescent="0.2">
      <c r="Q255" t="str">
        <f>Plant_Information!$B$6</f>
        <v>(INSERT VENDOR NAME HERE)</v>
      </c>
      <c r="R255" t="str">
        <f>'HAULING RATES- ODOT Locations'!$A$50</f>
        <v>District 4</v>
      </c>
      <c r="S255" t="str">
        <f>'HAULING RATES- ODOT Locations'!A60</f>
        <v>Mahoning</v>
      </c>
      <c r="T255" t="str">
        <f>'HAULING RATES- ODOT Locations'!B60</f>
        <v>385 N. Bailey Rd., North Jackson, OH   44451</v>
      </c>
      <c r="U255" t="str">
        <f>'HAULING RATES- ODOT Locations'!D$8</f>
        <v>Slag</v>
      </c>
      <c r="V255" s="146">
        <f>'HAULING RATES- ODOT Locations'!D60</f>
        <v>0</v>
      </c>
      <c r="W255" s="131" t="str">
        <f>+'Aggregate, Plant Pick-up'!$C$6</f>
        <v>LAFARGE-MARBLEHEAD "OSBORNE-CLEVELAND"</v>
      </c>
      <c r="X255" s="131" t="str">
        <f>+Plant_Information!$B$10</f>
        <v>04105-28</v>
      </c>
      <c r="Y255" s="131" t="str">
        <f>+Plant_Information!$B$11</f>
        <v>2100 CENTRAL FURNACE ROAD</v>
      </c>
      <c r="Z255" s="131" t="str">
        <f>+Plant_Information!$B$12</f>
        <v>CLEVELAND, OH, 44115</v>
      </c>
      <c r="AA255" s="131" t="str">
        <f>+Plant_Information!$B$13</f>
        <v>12</v>
      </c>
      <c r="AB255" s="131" t="str">
        <f>+Plant_Information!$B$14</f>
        <v>CUY</v>
      </c>
      <c r="AC255" s="70"/>
    </row>
    <row r="256" spans="17:29" x14ac:dyDescent="0.2">
      <c r="Q256" t="str">
        <f>Plant_Information!$B$6</f>
        <v>(INSERT VENDOR NAME HERE)</v>
      </c>
      <c r="R256" t="str">
        <f>'HAULING RATES- ODOT Locations'!$A$50</f>
        <v>District 4</v>
      </c>
      <c r="S256" t="str">
        <f>'HAULING RATES- ODOT Locations'!A61</f>
        <v>Mahoning</v>
      </c>
      <c r="T256" t="str">
        <f>'HAULING RATES- ODOT Locations'!B61</f>
        <v>10720 Market St., N. Lima, OH    44452</v>
      </c>
      <c r="U256" t="str">
        <f>'HAULING RATES- ODOT Locations'!D$8</f>
        <v>Slag</v>
      </c>
      <c r="V256" s="146">
        <f>'HAULING RATES- ODOT Locations'!D61</f>
        <v>0</v>
      </c>
      <c r="W256" s="131" t="str">
        <f>+'Aggregate, Plant Pick-up'!$C$6</f>
        <v>LAFARGE-MARBLEHEAD "OSBORNE-CLEVELAND"</v>
      </c>
      <c r="X256" s="131" t="str">
        <f>+Plant_Information!$B$10</f>
        <v>04105-28</v>
      </c>
      <c r="Y256" s="131" t="str">
        <f>+Plant_Information!$B$11</f>
        <v>2100 CENTRAL FURNACE ROAD</v>
      </c>
      <c r="Z256" s="131" t="str">
        <f>+Plant_Information!$B$12</f>
        <v>CLEVELAND, OH, 44115</v>
      </c>
      <c r="AA256" s="131" t="str">
        <f>+Plant_Information!$B$13</f>
        <v>12</v>
      </c>
      <c r="AB256" s="131" t="str">
        <f>+Plant_Information!$B$14</f>
        <v>CUY</v>
      </c>
      <c r="AC256" s="70"/>
    </row>
    <row r="257" spans="17:29" x14ac:dyDescent="0.2">
      <c r="Q257" t="str">
        <f>Plant_Information!$B$6</f>
        <v>(INSERT VENDOR NAME HERE)</v>
      </c>
      <c r="R257" t="str">
        <f>'HAULING RATES- ODOT Locations'!$A$50</f>
        <v>District 4</v>
      </c>
      <c r="S257" t="str">
        <f>'HAULING RATES- ODOT Locations'!A62</f>
        <v>Mahoning</v>
      </c>
      <c r="T257" t="str">
        <f>'HAULING RATES- ODOT Locations'!B62</f>
        <v>Intersection SR14 &amp; Pricetown Road, Beloit, OH, 44609</v>
      </c>
      <c r="U257" t="str">
        <f>'HAULING RATES- ODOT Locations'!D$8</f>
        <v>Slag</v>
      </c>
      <c r="V257" s="146">
        <f>'HAULING RATES- ODOT Locations'!D62</f>
        <v>0</v>
      </c>
      <c r="W257" s="131" t="str">
        <f>+'Aggregate, Plant Pick-up'!$C$6</f>
        <v>LAFARGE-MARBLEHEAD "OSBORNE-CLEVELAND"</v>
      </c>
      <c r="X257" s="131" t="str">
        <f>+Plant_Information!$B$10</f>
        <v>04105-28</v>
      </c>
      <c r="Y257" s="131" t="str">
        <f>+Plant_Information!$B$11</f>
        <v>2100 CENTRAL FURNACE ROAD</v>
      </c>
      <c r="Z257" s="131" t="str">
        <f>+Plant_Information!$B$12</f>
        <v>CLEVELAND, OH, 44115</v>
      </c>
      <c r="AA257" s="131" t="str">
        <f>+Plant_Information!$B$13</f>
        <v>12</v>
      </c>
      <c r="AB257" s="131" t="str">
        <f>+Plant_Information!$B$14</f>
        <v>CUY</v>
      </c>
      <c r="AC257" s="70"/>
    </row>
    <row r="258" spans="17:29" x14ac:dyDescent="0.2">
      <c r="Q258" t="str">
        <f>Plant_Information!$B$6</f>
        <v>(INSERT VENDOR NAME HERE)</v>
      </c>
      <c r="R258" t="str">
        <f>'HAULING RATES- ODOT Locations'!$A$50</f>
        <v>District 4</v>
      </c>
      <c r="S258" t="str">
        <f>'HAULING RATES- ODOT Locations'!A63</f>
        <v>Mahoning</v>
      </c>
      <c r="T258" t="str">
        <f>'HAULING RATES- ODOT Locations'!B63</f>
        <v>South Avenue OP, I-680 &amp; South Ave. (Mp7) 1510 S. Ave., Youngstown, OH   44502</v>
      </c>
      <c r="U258" t="str">
        <f>'HAULING RATES- ODOT Locations'!D$8</f>
        <v>Slag</v>
      </c>
      <c r="V258" s="146">
        <f>'HAULING RATES- ODOT Locations'!D63</f>
        <v>0</v>
      </c>
      <c r="W258" s="131" t="str">
        <f>+'Aggregate, Plant Pick-up'!$C$6</f>
        <v>LAFARGE-MARBLEHEAD "OSBORNE-CLEVELAND"</v>
      </c>
      <c r="X258" s="131" t="str">
        <f>+Plant_Information!$B$10</f>
        <v>04105-28</v>
      </c>
      <c r="Y258" s="131" t="str">
        <f>+Plant_Information!$B$11</f>
        <v>2100 CENTRAL FURNACE ROAD</v>
      </c>
      <c r="Z258" s="131" t="str">
        <f>+Plant_Information!$B$12</f>
        <v>CLEVELAND, OH, 44115</v>
      </c>
      <c r="AA258" s="131" t="str">
        <f>+Plant_Information!$B$13</f>
        <v>12</v>
      </c>
      <c r="AB258" s="131" t="str">
        <f>+Plant_Information!$B$14</f>
        <v>CUY</v>
      </c>
      <c r="AC258" s="70"/>
    </row>
    <row r="259" spans="17:29" x14ac:dyDescent="0.2">
      <c r="Q259" t="str">
        <f>Plant_Information!$B$6</f>
        <v>(INSERT VENDOR NAME HERE)</v>
      </c>
      <c r="R259" t="str">
        <f>'HAULING RATES- ODOT Locations'!$A$50</f>
        <v>District 4</v>
      </c>
      <c r="S259" t="str">
        <f>'HAULING RATES- ODOT Locations'!A64</f>
        <v>Portage</v>
      </c>
      <c r="T259" t="str">
        <f>'HAULING RATES- ODOT Locations'!B64</f>
        <v>Drakesburg OP, 9068 SR 88, Windham, OH   44288</v>
      </c>
      <c r="U259" t="str">
        <f>'HAULING RATES- ODOT Locations'!D$8</f>
        <v>Slag</v>
      </c>
      <c r="V259" s="146">
        <f>'HAULING RATES- ODOT Locations'!D64</f>
        <v>0</v>
      </c>
      <c r="W259" s="131" t="str">
        <f>+'Aggregate, Plant Pick-up'!$C$6</f>
        <v>LAFARGE-MARBLEHEAD "OSBORNE-CLEVELAND"</v>
      </c>
      <c r="X259" s="131" t="str">
        <f>+Plant_Information!$B$10</f>
        <v>04105-28</v>
      </c>
      <c r="Y259" s="131" t="str">
        <f>+Plant_Information!$B$11</f>
        <v>2100 CENTRAL FURNACE ROAD</v>
      </c>
      <c r="Z259" s="131" t="str">
        <f>+Plant_Information!$B$12</f>
        <v>CLEVELAND, OH, 44115</v>
      </c>
      <c r="AA259" s="131" t="str">
        <f>+Plant_Information!$B$13</f>
        <v>12</v>
      </c>
      <c r="AB259" s="131" t="str">
        <f>+Plant_Information!$B$14</f>
        <v>CUY</v>
      </c>
      <c r="AC259" s="70"/>
    </row>
    <row r="260" spans="17:29" x14ac:dyDescent="0.2">
      <c r="Q260" t="str">
        <f>Plant_Information!$B$6</f>
        <v>(INSERT VENDOR NAME HERE)</v>
      </c>
      <c r="R260" t="str">
        <f>'HAULING RATES- ODOT Locations'!$A$50</f>
        <v>District 4</v>
      </c>
      <c r="S260" t="str">
        <f>'HAULING RATES- ODOT Locations'!A65</f>
        <v>Portage</v>
      </c>
      <c r="T260" t="str">
        <f>'HAULING RATES- ODOT Locations'!B65</f>
        <v>2638 SR 14, Deerfield, OH   44411</v>
      </c>
      <c r="U260" t="str">
        <f>'HAULING RATES- ODOT Locations'!D$8</f>
        <v>Slag</v>
      </c>
      <c r="V260" s="146">
        <f>'HAULING RATES- ODOT Locations'!D65</f>
        <v>0</v>
      </c>
      <c r="W260" s="131" t="str">
        <f>+'Aggregate, Plant Pick-up'!$C$6</f>
        <v>LAFARGE-MARBLEHEAD "OSBORNE-CLEVELAND"</v>
      </c>
      <c r="X260" s="131" t="str">
        <f>+Plant_Information!$B$10</f>
        <v>04105-28</v>
      </c>
      <c r="Y260" s="131" t="str">
        <f>+Plant_Information!$B$11</f>
        <v>2100 CENTRAL FURNACE ROAD</v>
      </c>
      <c r="Z260" s="131" t="str">
        <f>+Plant_Information!$B$12</f>
        <v>CLEVELAND, OH, 44115</v>
      </c>
      <c r="AA260" s="131" t="str">
        <f>+Plant_Information!$B$13</f>
        <v>12</v>
      </c>
      <c r="AB260" s="131" t="str">
        <f>+Plant_Information!$B$14</f>
        <v>CUY</v>
      </c>
      <c r="AC260" s="70"/>
    </row>
    <row r="261" spans="17:29" x14ac:dyDescent="0.2">
      <c r="Q261" t="str">
        <f>Plant_Information!$B$6</f>
        <v>(INSERT VENDOR NAME HERE)</v>
      </c>
      <c r="R261" t="str">
        <f>'HAULING RATES- ODOT Locations'!$A$50</f>
        <v>District 4</v>
      </c>
      <c r="S261" t="str">
        <f>'HAULING RATES- ODOT Locations'!A66</f>
        <v>Portage</v>
      </c>
      <c r="T261" t="str">
        <f>'HAULING RATES- ODOT Locations'!B66</f>
        <v>5071 Commerce One Drive, Rootstown, OH 44272</v>
      </c>
      <c r="U261" t="str">
        <f>'HAULING RATES- ODOT Locations'!D$8</f>
        <v>Slag</v>
      </c>
      <c r="V261" s="146">
        <f>'HAULING RATES- ODOT Locations'!D66</f>
        <v>0</v>
      </c>
      <c r="W261" s="131" t="str">
        <f>+'Aggregate, Plant Pick-up'!$C$6</f>
        <v>LAFARGE-MARBLEHEAD "OSBORNE-CLEVELAND"</v>
      </c>
      <c r="X261" s="131" t="str">
        <f>+Plant_Information!$B$10</f>
        <v>04105-28</v>
      </c>
      <c r="Y261" s="131" t="str">
        <f>+Plant_Information!$B$11</f>
        <v>2100 CENTRAL FURNACE ROAD</v>
      </c>
      <c r="Z261" s="131" t="str">
        <f>+Plant_Information!$B$12</f>
        <v>CLEVELAND, OH, 44115</v>
      </c>
      <c r="AA261" s="131" t="str">
        <f>+Plant_Information!$B$13</f>
        <v>12</v>
      </c>
      <c r="AB261" s="131" t="str">
        <f>+Plant_Information!$B$14</f>
        <v>CUY</v>
      </c>
      <c r="AC261" s="70"/>
    </row>
    <row r="262" spans="17:29" x14ac:dyDescent="0.2">
      <c r="Q262" t="str">
        <f>Plant_Information!$B$6</f>
        <v>(INSERT VENDOR NAME HERE)</v>
      </c>
      <c r="R262" t="str">
        <f>'HAULING RATES- ODOT Locations'!$A$50</f>
        <v>District 4</v>
      </c>
      <c r="S262" t="str">
        <f>'HAULING RATES- ODOT Locations'!A67</f>
        <v>Stark</v>
      </c>
      <c r="T262" t="str">
        <f>'HAULING RATES- ODOT Locations'!B67</f>
        <v>4505 Atlantic Blvd. NE, Canton, Intersection of  US 62 &amp; Atlantic</v>
      </c>
      <c r="U262" t="str">
        <f>'HAULING RATES- ODOT Locations'!D$8</f>
        <v>Slag</v>
      </c>
      <c r="V262" s="146">
        <f>'HAULING RATES- ODOT Locations'!D67</f>
        <v>0</v>
      </c>
      <c r="W262" s="131" t="str">
        <f>+'Aggregate, Plant Pick-up'!$C$6</f>
        <v>LAFARGE-MARBLEHEAD "OSBORNE-CLEVELAND"</v>
      </c>
      <c r="X262" s="131" t="str">
        <f>+Plant_Information!$B$10</f>
        <v>04105-28</v>
      </c>
      <c r="Y262" s="131" t="str">
        <f>+Plant_Information!$B$11</f>
        <v>2100 CENTRAL FURNACE ROAD</v>
      </c>
      <c r="Z262" s="131" t="str">
        <f>+Plant_Information!$B$12</f>
        <v>CLEVELAND, OH, 44115</v>
      </c>
      <c r="AA262" s="131" t="str">
        <f>+Plant_Information!$B$13</f>
        <v>12</v>
      </c>
      <c r="AB262" s="131" t="str">
        <f>+Plant_Information!$B$14</f>
        <v>CUY</v>
      </c>
      <c r="AC262" s="70"/>
    </row>
    <row r="263" spans="17:29" x14ac:dyDescent="0.2">
      <c r="Q263" t="str">
        <f>Plant_Information!$B$6</f>
        <v>(INSERT VENDOR NAME HERE)</v>
      </c>
      <c r="R263" t="str">
        <f>'HAULING RATES- ODOT Locations'!$A$50</f>
        <v>District 4</v>
      </c>
      <c r="S263" t="str">
        <f>'HAULING RATES- ODOT Locations'!A68</f>
        <v>Stark</v>
      </c>
      <c r="T263" t="str">
        <f>'HAULING RATES- ODOT Locations'!B68</f>
        <v>Millersburg OP, 12751 Millersburg SW,  Massillon, 44647 (corner of SR 241 &amp; SR 93)</v>
      </c>
      <c r="U263" t="str">
        <f>'HAULING RATES- ODOT Locations'!D$8</f>
        <v>Slag</v>
      </c>
      <c r="V263" s="146">
        <f>'HAULING RATES- ODOT Locations'!D68</f>
        <v>0</v>
      </c>
      <c r="W263" s="131" t="str">
        <f>+'Aggregate, Plant Pick-up'!$C$6</f>
        <v>LAFARGE-MARBLEHEAD "OSBORNE-CLEVELAND"</v>
      </c>
      <c r="X263" s="131" t="str">
        <f>+Plant_Information!$B$10</f>
        <v>04105-28</v>
      </c>
      <c r="Y263" s="131" t="str">
        <f>+Plant_Information!$B$11</f>
        <v>2100 CENTRAL FURNACE ROAD</v>
      </c>
      <c r="Z263" s="131" t="str">
        <f>+Plant_Information!$B$12</f>
        <v>CLEVELAND, OH, 44115</v>
      </c>
      <c r="AA263" s="131" t="str">
        <f>+Plant_Information!$B$13</f>
        <v>12</v>
      </c>
      <c r="AB263" s="131" t="str">
        <f>+Plant_Information!$B$14</f>
        <v>CUY</v>
      </c>
      <c r="AC263" s="70"/>
    </row>
    <row r="264" spans="17:29" x14ac:dyDescent="0.2">
      <c r="Q264" s="138" t="str">
        <f>Plant_Information!$B$6</f>
        <v>(INSERT VENDOR NAME HERE)</v>
      </c>
      <c r="R264" s="138" t="str">
        <f>'HAULING RATES- ODOT Locations'!$A$50</f>
        <v>District 4</v>
      </c>
      <c r="S264" s="138" t="str">
        <f>'HAULING RATES- ODOT Locations'!A69</f>
        <v>Stark</v>
      </c>
      <c r="T264" s="138" t="str">
        <f>'HAULING RATES- ODOT Locations'!B69</f>
        <v>3018 Richville Drive SE, Massillon, OH 44646</v>
      </c>
      <c r="U264" s="138" t="str">
        <f>'HAULING RATES- ODOT Locations'!D$8</f>
        <v>Slag</v>
      </c>
      <c r="V264" s="146">
        <f>'HAULING RATES- ODOT Locations'!D69</f>
        <v>0</v>
      </c>
      <c r="W264" s="141" t="str">
        <f>+'Aggregate, Plant Pick-up'!$C$6</f>
        <v>LAFARGE-MARBLEHEAD "OSBORNE-CLEVELAND"</v>
      </c>
      <c r="X264" s="141" t="str">
        <f>+Plant_Information!$B$10</f>
        <v>04105-28</v>
      </c>
      <c r="Y264" s="141" t="str">
        <f>+Plant_Information!$B$11</f>
        <v>2100 CENTRAL FURNACE ROAD</v>
      </c>
      <c r="Z264" s="141" t="str">
        <f>+Plant_Information!$B$12</f>
        <v>CLEVELAND, OH, 44115</v>
      </c>
      <c r="AA264" s="141" t="str">
        <f>+Plant_Information!$B$13</f>
        <v>12</v>
      </c>
      <c r="AB264" s="141" t="str">
        <f>+Plant_Information!$B$14</f>
        <v>CUY</v>
      </c>
      <c r="AC264" s="70"/>
    </row>
    <row r="265" spans="17:29" x14ac:dyDescent="0.2">
      <c r="Q265" t="str">
        <f>Plant_Information!$B$6</f>
        <v>(INSERT VENDOR NAME HERE)</v>
      </c>
      <c r="R265" t="str">
        <f>'HAULING RATES- ODOT Locations'!$A$50</f>
        <v>District 4</v>
      </c>
      <c r="S265" t="str">
        <f>'HAULING RATES- ODOT Locations'!A70</f>
        <v>Summit</v>
      </c>
      <c r="T265" t="str">
        <f>'HAULING RATES- ODOT Locations'!B70</f>
        <v>Boston Heights Garage, 6155 Chittenden Rd., Hudson, OH 44236</v>
      </c>
      <c r="U265" t="str">
        <f>'HAULING RATES- ODOT Locations'!D$8</f>
        <v>Slag</v>
      </c>
      <c r="V265" s="146">
        <f>'HAULING RATES- ODOT Locations'!D70</f>
        <v>0</v>
      </c>
      <c r="W265" s="131" t="str">
        <f>+'Aggregate, Plant Pick-up'!$C$6</f>
        <v>LAFARGE-MARBLEHEAD "OSBORNE-CLEVELAND"</v>
      </c>
      <c r="X265" s="131" t="str">
        <f>+Plant_Information!$B$10</f>
        <v>04105-28</v>
      </c>
      <c r="Y265" s="131" t="str">
        <f>+Plant_Information!$B$11</f>
        <v>2100 CENTRAL FURNACE ROAD</v>
      </c>
      <c r="Z265" s="131" t="str">
        <f>+Plant_Information!$B$12</f>
        <v>CLEVELAND, OH, 44115</v>
      </c>
      <c r="AA265" s="131" t="str">
        <f>+Plant_Information!$B$13</f>
        <v>12</v>
      </c>
      <c r="AB265" s="131" t="str">
        <f>+Plant_Information!$B$14</f>
        <v>CUY</v>
      </c>
      <c r="AC265" s="70"/>
    </row>
    <row r="266" spans="17:29" x14ac:dyDescent="0.2">
      <c r="Q266" t="str">
        <f>Plant_Information!$B$6</f>
        <v>(INSERT VENDOR NAME HERE)</v>
      </c>
      <c r="R266" t="str">
        <f>'HAULING RATES- ODOT Locations'!$A$50</f>
        <v>District 4</v>
      </c>
      <c r="S266" t="str">
        <f>'HAULING RATES- ODOT Locations'!A71</f>
        <v>Summit</v>
      </c>
      <c r="T266" t="str">
        <f>'HAULING RATES- ODOT Locations'!B71</f>
        <v>8820 Darow Rd., Twinsburg, OH   44087</v>
      </c>
      <c r="U266" t="str">
        <f>'HAULING RATES- ODOT Locations'!D$8</f>
        <v>Slag</v>
      </c>
      <c r="V266" s="146">
        <f>'HAULING RATES- ODOT Locations'!D71</f>
        <v>0</v>
      </c>
      <c r="W266" s="131" t="str">
        <f>+'Aggregate, Plant Pick-up'!$C$6</f>
        <v>LAFARGE-MARBLEHEAD "OSBORNE-CLEVELAND"</v>
      </c>
      <c r="X266" s="131" t="str">
        <f>+Plant_Information!$B$10</f>
        <v>04105-28</v>
      </c>
      <c r="Y266" s="131" t="str">
        <f>+Plant_Information!$B$11</f>
        <v>2100 CENTRAL FURNACE ROAD</v>
      </c>
      <c r="Z266" s="131" t="str">
        <f>+Plant_Information!$B$12</f>
        <v>CLEVELAND, OH, 44115</v>
      </c>
      <c r="AA266" s="131" t="str">
        <f>+Plant_Information!$B$13</f>
        <v>12</v>
      </c>
      <c r="AB266" s="131" t="str">
        <f>+Plant_Information!$B$14</f>
        <v>CUY</v>
      </c>
      <c r="AC266" s="70"/>
    </row>
    <row r="267" spans="17:29" x14ac:dyDescent="0.2">
      <c r="Q267" t="str">
        <f>Plant_Information!$B$6</f>
        <v>(INSERT VENDOR NAME HERE)</v>
      </c>
      <c r="R267" t="str">
        <f>'HAULING RATES- ODOT Locations'!$A$50</f>
        <v>District 4</v>
      </c>
      <c r="S267" t="str">
        <f>'HAULING RATES- ODOT Locations'!A72</f>
        <v>Summit</v>
      </c>
      <c r="T267" t="str">
        <f>'HAULING RATES- ODOT Locations'!B72</f>
        <v>Norton OP, 3349 SR 21, Norton, OH   44203 (Interchange  I-76 and SR 21)</v>
      </c>
      <c r="U267" t="str">
        <f>'HAULING RATES- ODOT Locations'!D$8</f>
        <v>Slag</v>
      </c>
      <c r="V267" s="146">
        <f>'HAULING RATES- ODOT Locations'!D72</f>
        <v>0</v>
      </c>
      <c r="W267" s="131" t="str">
        <f>+'Aggregate, Plant Pick-up'!$C$6</f>
        <v>LAFARGE-MARBLEHEAD "OSBORNE-CLEVELAND"</v>
      </c>
      <c r="X267" s="131" t="str">
        <f>+Plant_Information!$B$10</f>
        <v>04105-28</v>
      </c>
      <c r="Y267" s="131" t="str">
        <f>+Plant_Information!$B$11</f>
        <v>2100 CENTRAL FURNACE ROAD</v>
      </c>
      <c r="Z267" s="131" t="str">
        <f>+Plant_Information!$B$12</f>
        <v>CLEVELAND, OH, 44115</v>
      </c>
      <c r="AA267" s="131" t="str">
        <f>+Plant_Information!$B$13</f>
        <v>12</v>
      </c>
      <c r="AB267" s="131" t="str">
        <f>+Plant_Information!$B$14</f>
        <v>CUY</v>
      </c>
      <c r="AC267" s="70"/>
    </row>
    <row r="268" spans="17:29" x14ac:dyDescent="0.2">
      <c r="Q268" t="str">
        <f>Plant_Information!$B$6</f>
        <v>(INSERT VENDOR NAME HERE)</v>
      </c>
      <c r="R268" t="str">
        <f>'HAULING RATES- ODOT Locations'!$A$50</f>
        <v>District 4</v>
      </c>
      <c r="S268" t="str">
        <f>'HAULING RATES- ODOT Locations'!A73</f>
        <v>Summit</v>
      </c>
      <c r="T268" t="str">
        <f>'HAULING RATES- ODOT Locations'!B73</f>
        <v>Greensburg OP, 4377 Mt. Pleasant Road, North Canton, , OH   44272  (1/4 mi. n. of I-77 Airport exit.)</v>
      </c>
      <c r="U268" t="str">
        <f>'HAULING RATES- ODOT Locations'!D$8</f>
        <v>Slag</v>
      </c>
      <c r="V268" s="146">
        <f>'HAULING RATES- ODOT Locations'!D73</f>
        <v>0</v>
      </c>
      <c r="W268" s="131" t="str">
        <f>+'Aggregate, Plant Pick-up'!$C$6</f>
        <v>LAFARGE-MARBLEHEAD "OSBORNE-CLEVELAND"</v>
      </c>
      <c r="X268" s="131" t="str">
        <f>+Plant_Information!$B$10</f>
        <v>04105-28</v>
      </c>
      <c r="Y268" s="131" t="str">
        <f>+Plant_Information!$B$11</f>
        <v>2100 CENTRAL FURNACE ROAD</v>
      </c>
      <c r="Z268" s="131" t="str">
        <f>+Plant_Information!$B$12</f>
        <v>CLEVELAND, OH, 44115</v>
      </c>
      <c r="AA268" s="131" t="str">
        <f>+Plant_Information!$B$13</f>
        <v>12</v>
      </c>
      <c r="AB268" s="131" t="str">
        <f>+Plant_Information!$B$14</f>
        <v>CUY</v>
      </c>
      <c r="AC268" s="70"/>
    </row>
    <row r="269" spans="17:29" x14ac:dyDescent="0.2">
      <c r="Q269" t="str">
        <f>Plant_Information!$B$6</f>
        <v>(INSERT VENDOR NAME HERE)</v>
      </c>
      <c r="R269" t="str">
        <f>'HAULING RATES- ODOT Locations'!$A$50</f>
        <v>District 4</v>
      </c>
      <c r="S269" t="str">
        <f>'HAULING RATES- ODOT Locations'!A74</f>
        <v>Summit</v>
      </c>
      <c r="T269" t="str">
        <f>'HAULING RATES- ODOT Locations'!B74</f>
        <v>Kelly Ave. OP, 1240 Starlight Dr., Akron, OH  44306</v>
      </c>
      <c r="U269" t="str">
        <f>'HAULING RATES- ODOT Locations'!D$8</f>
        <v>Slag</v>
      </c>
      <c r="V269" s="146">
        <f>'HAULING RATES- ODOT Locations'!D74</f>
        <v>0</v>
      </c>
      <c r="W269" s="131" t="str">
        <f>+'Aggregate, Plant Pick-up'!$C$6</f>
        <v>LAFARGE-MARBLEHEAD "OSBORNE-CLEVELAND"</v>
      </c>
      <c r="X269" s="131" t="str">
        <f>+Plant_Information!$B$10</f>
        <v>04105-28</v>
      </c>
      <c r="Y269" s="131" t="str">
        <f>+Plant_Information!$B$11</f>
        <v>2100 CENTRAL FURNACE ROAD</v>
      </c>
      <c r="Z269" s="131" t="str">
        <f>+Plant_Information!$B$12</f>
        <v>CLEVELAND, OH, 44115</v>
      </c>
      <c r="AA269" s="131" t="str">
        <f>+Plant_Information!$B$13</f>
        <v>12</v>
      </c>
      <c r="AB269" s="131" t="str">
        <f>+Plant_Information!$B$14</f>
        <v>CUY</v>
      </c>
      <c r="AC269" s="70"/>
    </row>
    <row r="270" spans="17:29" x14ac:dyDescent="0.2">
      <c r="Q270" t="str">
        <f>Plant_Information!$B$6</f>
        <v>(INSERT VENDOR NAME HERE)</v>
      </c>
      <c r="R270" t="str">
        <f>'HAULING RATES- ODOT Locations'!$A$50</f>
        <v>District 4</v>
      </c>
      <c r="S270" t="str">
        <f>'HAULING RATES- ODOT Locations'!A75</f>
        <v>Trumbull</v>
      </c>
      <c r="T270" t="str">
        <f>'HAULING RATES- ODOT Locations'!B75</f>
        <v>Brookfield OP, 1590 Brookfield Rd. S.E. (SR 7), Hubbard, OH   44425</v>
      </c>
      <c r="U270" t="str">
        <f>'HAULING RATES- ODOT Locations'!D$8</f>
        <v>Slag</v>
      </c>
      <c r="V270" s="146">
        <f>'HAULING RATES- ODOT Locations'!D75</f>
        <v>0</v>
      </c>
      <c r="W270" s="131" t="str">
        <f>+'Aggregate, Plant Pick-up'!$C$6</f>
        <v>LAFARGE-MARBLEHEAD "OSBORNE-CLEVELAND"</v>
      </c>
      <c r="X270" s="131" t="str">
        <f>+Plant_Information!$B$10</f>
        <v>04105-28</v>
      </c>
      <c r="Y270" s="131" t="str">
        <f>+Plant_Information!$B$11</f>
        <v>2100 CENTRAL FURNACE ROAD</v>
      </c>
      <c r="Z270" s="131" t="str">
        <f>+Plant_Information!$B$12</f>
        <v>CLEVELAND, OH, 44115</v>
      </c>
      <c r="AA270" s="131" t="str">
        <f>+Plant_Information!$B$13</f>
        <v>12</v>
      </c>
      <c r="AB270" s="131" t="str">
        <f>+Plant_Information!$B$14</f>
        <v>CUY</v>
      </c>
      <c r="AC270" s="70"/>
    </row>
    <row r="271" spans="17:29" x14ac:dyDescent="0.2">
      <c r="Q271" t="str">
        <f>Plant_Information!$B$6</f>
        <v>(INSERT VENDOR NAME HERE)</v>
      </c>
      <c r="R271" t="str">
        <f>'HAULING RATES- ODOT Locations'!$A$50</f>
        <v>District 4</v>
      </c>
      <c r="S271" t="str">
        <f>'HAULING RATES- ODOT Locations'!A76</f>
        <v>Trumbull</v>
      </c>
      <c r="T271" t="str">
        <f>'HAULING RATES- ODOT Locations'!B76</f>
        <v>310 Second St., Cortland, OH   44410</v>
      </c>
      <c r="U271" t="str">
        <f>'HAULING RATES- ODOT Locations'!D$8</f>
        <v>Slag</v>
      </c>
      <c r="V271" s="146">
        <f>'HAULING RATES- ODOT Locations'!D76</f>
        <v>0</v>
      </c>
      <c r="W271" s="131" t="str">
        <f>+'Aggregate, Plant Pick-up'!$C$6</f>
        <v>LAFARGE-MARBLEHEAD "OSBORNE-CLEVELAND"</v>
      </c>
      <c r="X271" s="131" t="str">
        <f>+Plant_Information!$B$10</f>
        <v>04105-28</v>
      </c>
      <c r="Y271" s="131" t="str">
        <f>+Plant_Information!$B$11</f>
        <v>2100 CENTRAL FURNACE ROAD</v>
      </c>
      <c r="Z271" s="131" t="str">
        <f>+Plant_Information!$B$12</f>
        <v>CLEVELAND, OH, 44115</v>
      </c>
      <c r="AA271" s="131" t="str">
        <f>+Plant_Information!$B$13</f>
        <v>12</v>
      </c>
      <c r="AB271" s="131" t="str">
        <f>+Plant_Information!$B$14</f>
        <v>CUY</v>
      </c>
      <c r="AC271" s="70"/>
    </row>
    <row r="272" spans="17:29" x14ac:dyDescent="0.2">
      <c r="Q272" t="str">
        <f>Plant_Information!$B$6</f>
        <v>(INSERT VENDOR NAME HERE)</v>
      </c>
      <c r="R272" t="str">
        <f>'HAULING RATES- ODOT Locations'!$A$50</f>
        <v>District 4</v>
      </c>
      <c r="S272" t="str">
        <f>'HAULING RATES- ODOT Locations'!A77</f>
        <v>Trumbull</v>
      </c>
      <c r="T272" t="str">
        <f>'HAULING RATES- ODOT Locations'!B77</f>
        <v>Gustavus OP, 2979 Kinsman Rd., North Bloomfield, OH 44450</v>
      </c>
      <c r="U272" t="str">
        <f>'HAULING RATES- ODOT Locations'!D$8</f>
        <v>Slag</v>
      </c>
      <c r="V272" s="146">
        <f>'HAULING RATES- ODOT Locations'!D77</f>
        <v>0</v>
      </c>
      <c r="W272" s="131" t="str">
        <f>+'Aggregate, Plant Pick-up'!$C$6</f>
        <v>LAFARGE-MARBLEHEAD "OSBORNE-CLEVELAND"</v>
      </c>
      <c r="X272" s="131" t="str">
        <f>+Plant_Information!$B$10</f>
        <v>04105-28</v>
      </c>
      <c r="Y272" s="131" t="str">
        <f>+Plant_Information!$B$11</f>
        <v>2100 CENTRAL FURNACE ROAD</v>
      </c>
      <c r="Z272" s="131" t="str">
        <f>+Plant_Information!$B$12</f>
        <v>CLEVELAND, OH, 44115</v>
      </c>
      <c r="AA272" s="131" t="str">
        <f>+Plant_Information!$B$13</f>
        <v>12</v>
      </c>
      <c r="AB272" s="131" t="str">
        <f>+Plant_Information!$B$14</f>
        <v>CUY</v>
      </c>
      <c r="AC272" s="70"/>
    </row>
    <row r="273" spans="17:29" x14ac:dyDescent="0.2">
      <c r="Q273" t="str">
        <f>Plant_Information!$B$6</f>
        <v>(INSERT VENDOR NAME HERE)</v>
      </c>
      <c r="R273" t="str">
        <f>'HAULING RATES- ODOT Locations'!$A$50</f>
        <v>District 4</v>
      </c>
      <c r="S273" t="str">
        <f>'HAULING RATES- ODOT Locations'!A78</f>
        <v>Trumbull</v>
      </c>
      <c r="T273" t="str">
        <f>'HAULING RATES- ODOT Locations'!B78</f>
        <v>Farmington OP, 6265 SR 534, W. Farmington, OH  44491</v>
      </c>
      <c r="U273" t="str">
        <f>'HAULING RATES- ODOT Locations'!D$8</f>
        <v>Slag</v>
      </c>
      <c r="V273" s="146">
        <f>'HAULING RATES- ODOT Locations'!D78</f>
        <v>0</v>
      </c>
      <c r="W273" s="131" t="str">
        <f>+'Aggregate, Plant Pick-up'!$C$6</f>
        <v>LAFARGE-MARBLEHEAD "OSBORNE-CLEVELAND"</v>
      </c>
      <c r="X273" s="131" t="str">
        <f>+Plant_Information!$B$10</f>
        <v>04105-28</v>
      </c>
      <c r="Y273" s="131" t="str">
        <f>+Plant_Information!$B$11</f>
        <v>2100 CENTRAL FURNACE ROAD</v>
      </c>
      <c r="Z273" s="131" t="str">
        <f>+Plant_Information!$B$12</f>
        <v>CLEVELAND, OH, 44115</v>
      </c>
      <c r="AA273" s="131" t="str">
        <f>+Plant_Information!$B$13</f>
        <v>12</v>
      </c>
      <c r="AB273" s="131" t="str">
        <f>+Plant_Information!$B$14</f>
        <v>CUY</v>
      </c>
      <c r="AC273" s="70"/>
    </row>
    <row r="274" spans="17:29" x14ac:dyDescent="0.2">
      <c r="Q274" t="str">
        <f>Plant_Information!$B$6</f>
        <v>(INSERT VENDOR NAME HERE)</v>
      </c>
      <c r="R274" t="str">
        <f>'HAULING RATES- ODOT Locations'!$A$50</f>
        <v>District 4</v>
      </c>
      <c r="S274" t="str">
        <f>'HAULING RATES- ODOT Locations'!A79</f>
        <v>Trumbull</v>
      </c>
      <c r="T274" t="str">
        <f>'HAULING RATES- ODOT Locations'!B79</f>
        <v>Warren OP, SR 5 &amp; Diehl S., Leavittsburg, OH   44430</v>
      </c>
      <c r="U274" t="str">
        <f>'HAULING RATES- ODOT Locations'!D$8</f>
        <v>Slag</v>
      </c>
      <c r="V274" s="146">
        <f>'HAULING RATES- ODOT Locations'!D79</f>
        <v>0</v>
      </c>
      <c r="W274" s="131" t="str">
        <f>+'Aggregate, Plant Pick-up'!$C$6</f>
        <v>LAFARGE-MARBLEHEAD "OSBORNE-CLEVELAND"</v>
      </c>
      <c r="X274" s="131" t="str">
        <f>+Plant_Information!$B$10</f>
        <v>04105-28</v>
      </c>
      <c r="Y274" s="131" t="str">
        <f>+Plant_Information!$B$11</f>
        <v>2100 CENTRAL FURNACE ROAD</v>
      </c>
      <c r="Z274" s="131" t="str">
        <f>+Plant_Information!$B$12</f>
        <v>CLEVELAND, OH, 44115</v>
      </c>
      <c r="AA274" s="131" t="str">
        <f>+Plant_Information!$B$13</f>
        <v>12</v>
      </c>
      <c r="AB274" s="131" t="str">
        <f>+Plant_Information!$B$14</f>
        <v>CUY</v>
      </c>
      <c r="AC274" s="70"/>
    </row>
    <row r="275" spans="17:29" x14ac:dyDescent="0.2">
      <c r="Q275" t="str">
        <f>Plant_Information!$B$6</f>
        <v>(INSERT VENDOR NAME HERE)</v>
      </c>
      <c r="R275" t="str">
        <f>'HAULING RATES- ODOT Locations'!$A$80</f>
        <v>District 5</v>
      </c>
      <c r="S275" t="str">
        <f>'HAULING RATES- ODOT Locations'!A83</f>
        <v>Coshocton</v>
      </c>
      <c r="T275" t="str">
        <f>'HAULING RATES- ODOT Locations'!B83</f>
        <v>233 Rivercrest Dr., Coshocton, OH 43812</v>
      </c>
      <c r="U275" t="str">
        <f>'HAULING RATES- ODOT Locations'!D$8</f>
        <v>Slag</v>
      </c>
      <c r="V275" s="146">
        <f>'HAULING RATES- ODOT Locations'!D83</f>
        <v>0</v>
      </c>
      <c r="W275" s="131" t="str">
        <f>+'Aggregate, Plant Pick-up'!$C$6</f>
        <v>LAFARGE-MARBLEHEAD "OSBORNE-CLEVELAND"</v>
      </c>
      <c r="X275" s="131" t="str">
        <f>+Plant_Information!$B$10</f>
        <v>04105-28</v>
      </c>
      <c r="Y275" s="131" t="str">
        <f>+Plant_Information!$B$11</f>
        <v>2100 CENTRAL FURNACE ROAD</v>
      </c>
      <c r="Z275" s="131" t="str">
        <f>+Plant_Information!$B$12</f>
        <v>CLEVELAND, OH, 44115</v>
      </c>
      <c r="AA275" s="131" t="str">
        <f>+Plant_Information!$B$13</f>
        <v>12</v>
      </c>
      <c r="AB275" s="131" t="str">
        <f>+Plant_Information!$B$14</f>
        <v>CUY</v>
      </c>
      <c r="AC275" s="70"/>
    </row>
    <row r="276" spans="17:29" x14ac:dyDescent="0.2">
      <c r="Q276" t="str">
        <f>Plant_Information!$B$6</f>
        <v>(INSERT VENDOR NAME HERE)</v>
      </c>
      <c r="R276" t="str">
        <f>'HAULING RATES- ODOT Locations'!$A$80</f>
        <v>District 5</v>
      </c>
      <c r="S276" t="str">
        <f>'HAULING RATES- ODOT Locations'!A84</f>
        <v>Coshocton</v>
      </c>
      <c r="T276" t="str">
        <f>'HAULING RATES- ODOT Locations'!B84</f>
        <v>25939 SR 206, New Castle, OH 43843</v>
      </c>
      <c r="U276" t="str">
        <f>'HAULING RATES- ODOT Locations'!D$8</f>
        <v>Slag</v>
      </c>
      <c r="V276" s="146">
        <f>'HAULING RATES- ODOT Locations'!D84</f>
        <v>0</v>
      </c>
      <c r="W276" s="131" t="str">
        <f>+'Aggregate, Plant Pick-up'!$C$6</f>
        <v>LAFARGE-MARBLEHEAD "OSBORNE-CLEVELAND"</v>
      </c>
      <c r="X276" s="131" t="str">
        <f>+Plant_Information!$B$10</f>
        <v>04105-28</v>
      </c>
      <c r="Y276" s="131" t="str">
        <f>+Plant_Information!$B$11</f>
        <v>2100 CENTRAL FURNACE ROAD</v>
      </c>
      <c r="Z276" s="131" t="str">
        <f>+Plant_Information!$B$12</f>
        <v>CLEVELAND, OH, 44115</v>
      </c>
      <c r="AA276" s="131" t="str">
        <f>+Plant_Information!$B$13</f>
        <v>12</v>
      </c>
      <c r="AB276" s="131" t="str">
        <f>+Plant_Information!$B$14</f>
        <v>CUY</v>
      </c>
      <c r="AC276" s="70"/>
    </row>
    <row r="277" spans="17:29" x14ac:dyDescent="0.2">
      <c r="Q277" t="str">
        <f>Plant_Information!$B$6</f>
        <v>(INSERT VENDOR NAME HERE)</v>
      </c>
      <c r="R277" t="str">
        <f>'HAULING RATES- ODOT Locations'!$A$80</f>
        <v>District 5</v>
      </c>
      <c r="S277" t="str">
        <f>'HAULING RATES- ODOT Locations'!A85</f>
        <v>Fairfield</v>
      </c>
      <c r="T277" t="str">
        <f>'HAULING RATES- ODOT Locations'!B85</f>
        <v>1894 West Market St., Baltimore, OH 43105</v>
      </c>
      <c r="U277" t="str">
        <f>'HAULING RATES- ODOT Locations'!D$8</f>
        <v>Slag</v>
      </c>
      <c r="V277" s="146">
        <f>'HAULING RATES- ODOT Locations'!D85</f>
        <v>0</v>
      </c>
      <c r="W277" s="131" t="str">
        <f>+'Aggregate, Plant Pick-up'!$C$6</f>
        <v>LAFARGE-MARBLEHEAD "OSBORNE-CLEVELAND"</v>
      </c>
      <c r="X277" s="131" t="str">
        <f>+Plant_Information!$B$10</f>
        <v>04105-28</v>
      </c>
      <c r="Y277" s="131" t="str">
        <f>+Plant_Information!$B$11</f>
        <v>2100 CENTRAL FURNACE ROAD</v>
      </c>
      <c r="Z277" s="131" t="str">
        <f>+Plant_Information!$B$12</f>
        <v>CLEVELAND, OH, 44115</v>
      </c>
      <c r="AA277" s="131" t="str">
        <f>+Plant_Information!$B$13</f>
        <v>12</v>
      </c>
      <c r="AB277" s="131" t="str">
        <f>+Plant_Information!$B$14</f>
        <v>CUY</v>
      </c>
      <c r="AC277" s="70"/>
    </row>
    <row r="278" spans="17:29" x14ac:dyDescent="0.2">
      <c r="Q278" t="str">
        <f>Plant_Information!$B$6</f>
        <v>(INSERT VENDOR NAME HERE)</v>
      </c>
      <c r="R278" t="str">
        <f>'HAULING RATES- ODOT Locations'!$A$80</f>
        <v>District 5</v>
      </c>
      <c r="S278" t="str">
        <f>'HAULING RATES- ODOT Locations'!A86</f>
        <v>Fairfield</v>
      </c>
      <c r="T278" t="str">
        <f>'HAULING RATES- ODOT Locations'!B86</f>
        <v>3265 West Fair Avenue, Lancaster, OH 43130</v>
      </c>
      <c r="U278" t="str">
        <f>'HAULING RATES- ODOT Locations'!D$8</f>
        <v>Slag</v>
      </c>
      <c r="V278" s="146">
        <f>'HAULING RATES- ODOT Locations'!D86</f>
        <v>0</v>
      </c>
      <c r="W278" s="131" t="str">
        <f>+'Aggregate, Plant Pick-up'!$C$6</f>
        <v>LAFARGE-MARBLEHEAD "OSBORNE-CLEVELAND"</v>
      </c>
      <c r="X278" s="131" t="str">
        <f>+Plant_Information!$B$10</f>
        <v>04105-28</v>
      </c>
      <c r="Y278" s="131" t="str">
        <f>+Plant_Information!$B$11</f>
        <v>2100 CENTRAL FURNACE ROAD</v>
      </c>
      <c r="Z278" s="131" t="str">
        <f>+Plant_Information!$B$12</f>
        <v>CLEVELAND, OH, 44115</v>
      </c>
      <c r="AA278" s="131" t="str">
        <f>+Plant_Information!$B$13</f>
        <v>12</v>
      </c>
      <c r="AB278" s="131" t="str">
        <f>+Plant_Information!$B$14</f>
        <v>CUY</v>
      </c>
      <c r="AC278" s="70"/>
    </row>
    <row r="279" spans="17:29" x14ac:dyDescent="0.2">
      <c r="Q279" t="str">
        <f>Plant_Information!$B$6</f>
        <v>(INSERT VENDOR NAME HERE)</v>
      </c>
      <c r="R279" t="str">
        <f>'HAULING RATES- ODOT Locations'!$A$80</f>
        <v>District 5</v>
      </c>
      <c r="S279" t="str">
        <f>'HAULING RATES- ODOT Locations'!A87</f>
        <v>Fairfield</v>
      </c>
      <c r="T279" t="str">
        <f>'HAULING RATES- ODOT Locations'!B87</f>
        <v>5840 Logan-Thornville Rd. NE, Rushville, OH 43150</v>
      </c>
      <c r="U279" t="str">
        <f>'HAULING RATES- ODOT Locations'!D$8</f>
        <v>Slag</v>
      </c>
      <c r="V279" s="146">
        <f>'HAULING RATES- ODOT Locations'!D87</f>
        <v>0</v>
      </c>
      <c r="W279" s="131" t="str">
        <f>+'Aggregate, Plant Pick-up'!$C$6</f>
        <v>LAFARGE-MARBLEHEAD "OSBORNE-CLEVELAND"</v>
      </c>
      <c r="X279" s="131" t="str">
        <f>+Plant_Information!$B$10</f>
        <v>04105-28</v>
      </c>
      <c r="Y279" s="131" t="str">
        <f>+Plant_Information!$B$11</f>
        <v>2100 CENTRAL FURNACE ROAD</v>
      </c>
      <c r="Z279" s="131" t="str">
        <f>+Plant_Information!$B$12</f>
        <v>CLEVELAND, OH, 44115</v>
      </c>
      <c r="AA279" s="131" t="str">
        <f>+Plant_Information!$B$13</f>
        <v>12</v>
      </c>
      <c r="AB279" s="131" t="str">
        <f>+Plant_Information!$B$14</f>
        <v>CUY</v>
      </c>
      <c r="AC279" s="70"/>
    </row>
    <row r="280" spans="17:29" x14ac:dyDescent="0.2">
      <c r="Q280" t="str">
        <f>Plant_Information!$B$6</f>
        <v>(INSERT VENDOR NAME HERE)</v>
      </c>
      <c r="R280" t="str">
        <f>'HAULING RATES- ODOT Locations'!$A$80</f>
        <v>District 5</v>
      </c>
      <c r="S280" t="str">
        <f>'HAULING RATES- ODOT Locations'!A88</f>
        <v>Guernsey</v>
      </c>
      <c r="T280" t="str">
        <f>'HAULING RATES- ODOT Locations'!B88</f>
        <v>6490 Glenn Highway, Cambridge, OH 43725</v>
      </c>
      <c r="U280" t="str">
        <f>'HAULING RATES- ODOT Locations'!D$8</f>
        <v>Slag</v>
      </c>
      <c r="V280" s="146">
        <f>'HAULING RATES- ODOT Locations'!D88</f>
        <v>0</v>
      </c>
      <c r="W280" s="131" t="str">
        <f>+'Aggregate, Plant Pick-up'!$C$6</f>
        <v>LAFARGE-MARBLEHEAD "OSBORNE-CLEVELAND"</v>
      </c>
      <c r="X280" s="131" t="str">
        <f>+Plant_Information!$B$10</f>
        <v>04105-28</v>
      </c>
      <c r="Y280" s="131" t="str">
        <f>+Plant_Information!$B$11</f>
        <v>2100 CENTRAL FURNACE ROAD</v>
      </c>
      <c r="Z280" s="131" t="str">
        <f>+Plant_Information!$B$12</f>
        <v>CLEVELAND, OH, 44115</v>
      </c>
      <c r="AA280" s="131" t="str">
        <f>+Plant_Information!$B$13</f>
        <v>12</v>
      </c>
      <c r="AB280" s="131" t="str">
        <f>+Plant_Information!$B$14</f>
        <v>CUY</v>
      </c>
      <c r="AC280" s="70"/>
    </row>
    <row r="281" spans="17:29" x14ac:dyDescent="0.2">
      <c r="Q281" t="str">
        <f>Plant_Information!$B$6</f>
        <v>(INSERT VENDOR NAME HERE)</v>
      </c>
      <c r="R281" t="str">
        <f>'HAULING RATES- ODOT Locations'!$A$80</f>
        <v>District 5</v>
      </c>
      <c r="S281" t="str">
        <f>'HAULING RATES- ODOT Locations'!A89</f>
        <v>Guernsey</v>
      </c>
      <c r="T281" t="str">
        <f>'HAULING RATES- ODOT Locations'!B89</f>
        <v>North Salem OP, 72450 Old 21 Rd., Kimbolton, OH 43749</v>
      </c>
      <c r="U281" t="str">
        <f>'HAULING RATES- ODOT Locations'!D$8</f>
        <v>Slag</v>
      </c>
      <c r="V281" s="146">
        <f>'HAULING RATES- ODOT Locations'!D89</f>
        <v>0</v>
      </c>
      <c r="W281" s="131" t="str">
        <f>+'Aggregate, Plant Pick-up'!$C$6</f>
        <v>LAFARGE-MARBLEHEAD "OSBORNE-CLEVELAND"</v>
      </c>
      <c r="X281" s="131" t="str">
        <f>+Plant_Information!$B$10</f>
        <v>04105-28</v>
      </c>
      <c r="Y281" s="131" t="str">
        <f>+Plant_Information!$B$11</f>
        <v>2100 CENTRAL FURNACE ROAD</v>
      </c>
      <c r="Z281" s="131" t="str">
        <f>+Plant_Information!$B$12</f>
        <v>CLEVELAND, OH, 44115</v>
      </c>
      <c r="AA281" s="131" t="str">
        <f>+Plant_Information!$B$13</f>
        <v>12</v>
      </c>
      <c r="AB281" s="131" t="str">
        <f>+Plant_Information!$B$14</f>
        <v>CUY</v>
      </c>
      <c r="AC281" s="70"/>
    </row>
    <row r="282" spans="17:29" x14ac:dyDescent="0.2">
      <c r="Q282" t="str">
        <f>Plant_Information!$B$6</f>
        <v>(INSERT VENDOR NAME HERE)</v>
      </c>
      <c r="R282" t="str">
        <f>'HAULING RATES- ODOT Locations'!$A$80</f>
        <v>District 5</v>
      </c>
      <c r="S282" t="str">
        <f>'HAULING RATES- ODOT Locations'!A90</f>
        <v>Guernsey</v>
      </c>
      <c r="T282" t="str">
        <f>'HAULING RATES- ODOT Locations'!B90</f>
        <v>Old Washington OP, 63064 Winter Green Rd., Lore City, OH 43755</v>
      </c>
      <c r="U282" t="str">
        <f>'HAULING RATES- ODOT Locations'!D$8</f>
        <v>Slag</v>
      </c>
      <c r="V282" s="146">
        <f>'HAULING RATES- ODOT Locations'!D90</f>
        <v>0</v>
      </c>
      <c r="W282" s="131" t="str">
        <f>+'Aggregate, Plant Pick-up'!$C$6</f>
        <v>LAFARGE-MARBLEHEAD "OSBORNE-CLEVELAND"</v>
      </c>
      <c r="X282" s="131" t="str">
        <f>+Plant_Information!$B$10</f>
        <v>04105-28</v>
      </c>
      <c r="Y282" s="131" t="str">
        <f>+Plant_Information!$B$11</f>
        <v>2100 CENTRAL FURNACE ROAD</v>
      </c>
      <c r="Z282" s="131" t="str">
        <f>+Plant_Information!$B$12</f>
        <v>CLEVELAND, OH, 44115</v>
      </c>
      <c r="AA282" s="131" t="str">
        <f>+Plant_Information!$B$13</f>
        <v>12</v>
      </c>
      <c r="AB282" s="131" t="str">
        <f>+Plant_Information!$B$14</f>
        <v>CUY</v>
      </c>
      <c r="AC282" s="70"/>
    </row>
    <row r="283" spans="17:29" x14ac:dyDescent="0.2">
      <c r="Q283" t="str">
        <f>Plant_Information!$B$6</f>
        <v>(INSERT VENDOR NAME HERE)</v>
      </c>
      <c r="R283" t="str">
        <f>'HAULING RATES- ODOT Locations'!$A$80</f>
        <v>District 5</v>
      </c>
      <c r="S283" t="str">
        <f>'HAULING RATES- ODOT Locations'!A91</f>
        <v>Knox</v>
      </c>
      <c r="T283" t="str">
        <f>'HAULING RATES- ODOT Locations'!B91</f>
        <v>505 Harcourt Rd., Mt. Vernon, OH 43050</v>
      </c>
      <c r="U283" t="str">
        <f>'HAULING RATES- ODOT Locations'!D$8</f>
        <v>Slag</v>
      </c>
      <c r="V283" s="146">
        <f>'HAULING RATES- ODOT Locations'!D91</f>
        <v>0</v>
      </c>
      <c r="W283" s="131" t="str">
        <f>+'Aggregate, Plant Pick-up'!$C$6</f>
        <v>LAFARGE-MARBLEHEAD "OSBORNE-CLEVELAND"</v>
      </c>
      <c r="X283" s="131" t="str">
        <f>+Plant_Information!$B$10</f>
        <v>04105-28</v>
      </c>
      <c r="Y283" s="131" t="str">
        <f>+Plant_Information!$B$11</f>
        <v>2100 CENTRAL FURNACE ROAD</v>
      </c>
      <c r="Z283" s="131" t="str">
        <f>+Plant_Information!$B$12</f>
        <v>CLEVELAND, OH, 44115</v>
      </c>
      <c r="AA283" s="131" t="str">
        <f>+Plant_Information!$B$13</f>
        <v>12</v>
      </c>
      <c r="AB283" s="131" t="str">
        <f>+Plant_Information!$B$14</f>
        <v>CUY</v>
      </c>
      <c r="AC283" s="70"/>
    </row>
    <row r="284" spans="17:29" x14ac:dyDescent="0.2">
      <c r="Q284" t="str">
        <f>Plant_Information!$B$6</f>
        <v>(INSERT VENDOR NAME HERE)</v>
      </c>
      <c r="R284" t="str">
        <f>'HAULING RATES- ODOT Locations'!$A$80</f>
        <v>District 5</v>
      </c>
      <c r="S284" t="str">
        <f>'HAULING RATES- ODOT Locations'!A92</f>
        <v>Knox</v>
      </c>
      <c r="T284" t="str">
        <f>'HAULING RATES- ODOT Locations'!B92</f>
        <v>44 Mt. Vernon Ave., Fredericktown, 43010</v>
      </c>
      <c r="U284" t="str">
        <f>'HAULING RATES- ODOT Locations'!D$8</f>
        <v>Slag</v>
      </c>
      <c r="V284" s="146">
        <f>'HAULING RATES- ODOT Locations'!D92</f>
        <v>0</v>
      </c>
      <c r="W284" s="131" t="str">
        <f>+'Aggregate, Plant Pick-up'!$C$6</f>
        <v>LAFARGE-MARBLEHEAD "OSBORNE-CLEVELAND"</v>
      </c>
      <c r="X284" s="131" t="str">
        <f>+Plant_Information!$B$10</f>
        <v>04105-28</v>
      </c>
      <c r="Y284" s="131" t="str">
        <f>+Plant_Information!$B$11</f>
        <v>2100 CENTRAL FURNACE ROAD</v>
      </c>
      <c r="Z284" s="131" t="str">
        <f>+Plant_Information!$B$12</f>
        <v>CLEVELAND, OH, 44115</v>
      </c>
      <c r="AA284" s="131" t="str">
        <f>+Plant_Information!$B$13</f>
        <v>12</v>
      </c>
      <c r="AB284" s="131" t="str">
        <f>+Plant_Information!$B$14</f>
        <v>CUY</v>
      </c>
      <c r="AC284" s="70"/>
    </row>
    <row r="285" spans="17:29" x14ac:dyDescent="0.2">
      <c r="Q285" t="str">
        <f>Plant_Information!$B$6</f>
        <v>(INSERT VENDOR NAME HERE)</v>
      </c>
      <c r="R285" t="str">
        <f>'HAULING RATES- ODOT Locations'!$A$80</f>
        <v>District 5</v>
      </c>
      <c r="S285" t="str">
        <f>'HAULING RATES- ODOT Locations'!A93</f>
        <v>Licking</v>
      </c>
      <c r="T285" t="str">
        <f>'HAULING RATES- ODOT Locations'!B93</f>
        <v>9600 Jacksontown Rd., Jacksontown, OH 43030</v>
      </c>
      <c r="U285" t="str">
        <f>'HAULING RATES- ODOT Locations'!D$8</f>
        <v>Slag</v>
      </c>
      <c r="V285" s="146">
        <f>'HAULING RATES- ODOT Locations'!D93</f>
        <v>0</v>
      </c>
      <c r="W285" s="131" t="str">
        <f>+'Aggregate, Plant Pick-up'!$C$6</f>
        <v>LAFARGE-MARBLEHEAD "OSBORNE-CLEVELAND"</v>
      </c>
      <c r="X285" s="131" t="str">
        <f>+Plant_Information!$B$10</f>
        <v>04105-28</v>
      </c>
      <c r="Y285" s="131" t="str">
        <f>+Plant_Information!$B$11</f>
        <v>2100 CENTRAL FURNACE ROAD</v>
      </c>
      <c r="Z285" s="131" t="str">
        <f>+Plant_Information!$B$12</f>
        <v>CLEVELAND, OH, 44115</v>
      </c>
      <c r="AA285" s="131" t="str">
        <f>+Plant_Information!$B$13</f>
        <v>12</v>
      </c>
      <c r="AB285" s="131" t="str">
        <f>+Plant_Information!$B$14</f>
        <v>CUY</v>
      </c>
      <c r="AC285" s="70"/>
    </row>
    <row r="286" spans="17:29" x14ac:dyDescent="0.2">
      <c r="Q286" t="str">
        <f>Plant_Information!$B$6</f>
        <v>(INSERT VENDOR NAME HERE)</v>
      </c>
      <c r="R286" t="str">
        <f>'HAULING RATES- ODOT Locations'!$A$80</f>
        <v>District 5</v>
      </c>
      <c r="S286" t="str">
        <f>'HAULING RATES- ODOT Locations'!A94</f>
        <v>Licking</v>
      </c>
      <c r="T286" t="str">
        <f>'HAULING RATES- ODOT Locations'!B94</f>
        <v>Etna OP, 10250 Refugee Rd., Pataskala, OH 43062</v>
      </c>
      <c r="U286" t="str">
        <f>'HAULING RATES- ODOT Locations'!D$8</f>
        <v>Slag</v>
      </c>
      <c r="V286" s="146">
        <f>'HAULING RATES- ODOT Locations'!D94</f>
        <v>0</v>
      </c>
      <c r="W286" s="131" t="str">
        <f>+'Aggregate, Plant Pick-up'!$C$6</f>
        <v>LAFARGE-MARBLEHEAD "OSBORNE-CLEVELAND"</v>
      </c>
      <c r="X286" s="131" t="str">
        <f>+Plant_Information!$B$10</f>
        <v>04105-28</v>
      </c>
      <c r="Y286" s="131" t="str">
        <f>+Plant_Information!$B$11</f>
        <v>2100 CENTRAL FURNACE ROAD</v>
      </c>
      <c r="Z286" s="131" t="str">
        <f>+Plant_Information!$B$12</f>
        <v>CLEVELAND, OH, 44115</v>
      </c>
      <c r="AA286" s="131" t="str">
        <f>+Plant_Information!$B$13</f>
        <v>12</v>
      </c>
      <c r="AB286" s="131" t="str">
        <f>+Plant_Information!$B$14</f>
        <v>CUY</v>
      </c>
      <c r="AC286" s="70"/>
    </row>
    <row r="287" spans="17:29" x14ac:dyDescent="0.2">
      <c r="Q287" t="str">
        <f>Plant_Information!$B$6</f>
        <v>(INSERT VENDOR NAME HERE)</v>
      </c>
      <c r="R287" t="str">
        <f>'HAULING RATES- ODOT Locations'!$A$80</f>
        <v>District 5</v>
      </c>
      <c r="S287" t="str">
        <f>'HAULING RATES- ODOT Locations'!A95</f>
        <v>Licking</v>
      </c>
      <c r="T287" t="str">
        <f>'HAULING RATES- ODOT Locations'!B95</f>
        <v>2142 Johnstown-Utica Rd., Utica, OH 43080</v>
      </c>
      <c r="U287" t="str">
        <f>'HAULING RATES- ODOT Locations'!D$8</f>
        <v>Slag</v>
      </c>
      <c r="V287" s="146">
        <f>'HAULING RATES- ODOT Locations'!D95</f>
        <v>0</v>
      </c>
      <c r="W287" s="131" t="str">
        <f>+'Aggregate, Plant Pick-up'!$C$6</f>
        <v>LAFARGE-MARBLEHEAD "OSBORNE-CLEVELAND"</v>
      </c>
      <c r="X287" s="131" t="str">
        <f>+Plant_Information!$B$10</f>
        <v>04105-28</v>
      </c>
      <c r="Y287" s="131" t="str">
        <f>+Plant_Information!$B$11</f>
        <v>2100 CENTRAL FURNACE ROAD</v>
      </c>
      <c r="Z287" s="131" t="str">
        <f>+Plant_Information!$B$12</f>
        <v>CLEVELAND, OH, 44115</v>
      </c>
      <c r="AA287" s="131" t="str">
        <f>+Plant_Information!$B$13</f>
        <v>12</v>
      </c>
      <c r="AB287" s="131" t="str">
        <f>+Plant_Information!$B$14</f>
        <v>CUY</v>
      </c>
      <c r="AC287" s="70"/>
    </row>
    <row r="288" spans="17:29" x14ac:dyDescent="0.2">
      <c r="Q288" t="str">
        <f>Plant_Information!$B$6</f>
        <v>(INSERT VENDOR NAME HERE)</v>
      </c>
      <c r="R288" t="str">
        <f>'HAULING RATES- ODOT Locations'!$A$80</f>
        <v>District 5</v>
      </c>
      <c r="S288" t="str">
        <f>'HAULING RATES- ODOT Locations'!A96</f>
        <v>Licking</v>
      </c>
      <c r="T288" t="str">
        <f>'HAULING RATES- ODOT Locations'!B96</f>
        <v>10694 Brownsville Rd., SW, Brownsville, OH 43721</v>
      </c>
      <c r="U288" t="str">
        <f>'HAULING RATES- ODOT Locations'!D$8</f>
        <v>Slag</v>
      </c>
      <c r="V288" s="146">
        <f>'HAULING RATES- ODOT Locations'!D96</f>
        <v>0</v>
      </c>
      <c r="W288" s="131" t="str">
        <f>+'Aggregate, Plant Pick-up'!$C$6</f>
        <v>LAFARGE-MARBLEHEAD "OSBORNE-CLEVELAND"</v>
      </c>
      <c r="X288" s="131" t="str">
        <f>+Plant_Information!$B$10</f>
        <v>04105-28</v>
      </c>
      <c r="Y288" s="131" t="str">
        <f>+Plant_Information!$B$11</f>
        <v>2100 CENTRAL FURNACE ROAD</v>
      </c>
      <c r="Z288" s="131" t="str">
        <f>+Plant_Information!$B$12</f>
        <v>CLEVELAND, OH, 44115</v>
      </c>
      <c r="AA288" s="131" t="str">
        <f>+Plant_Information!$B$13</f>
        <v>12</v>
      </c>
      <c r="AB288" s="131" t="str">
        <f>+Plant_Information!$B$14</f>
        <v>CUY</v>
      </c>
      <c r="AC288" s="70"/>
    </row>
    <row r="289" spans="17:29" x14ac:dyDescent="0.2">
      <c r="Q289" t="str">
        <f>Plant_Information!$B$6</f>
        <v>(INSERT VENDOR NAME HERE)</v>
      </c>
      <c r="R289" t="str">
        <f>'HAULING RATES- ODOT Locations'!$A$80</f>
        <v>District 5</v>
      </c>
      <c r="S289" t="str">
        <f>'HAULING RATES- ODOT Locations'!A97</f>
        <v>Licking</v>
      </c>
      <c r="T289" t="str">
        <f>'HAULING RATES- ODOT Locations'!B97</f>
        <v>Marne OP, 11416 Marne Rd., Newark, OH 43055</v>
      </c>
      <c r="U289" t="str">
        <f>'HAULING RATES- ODOT Locations'!D$8</f>
        <v>Slag</v>
      </c>
      <c r="V289" s="146">
        <f>'HAULING RATES- ODOT Locations'!D97</f>
        <v>0</v>
      </c>
      <c r="W289" s="131" t="str">
        <f>+'Aggregate, Plant Pick-up'!$C$6</f>
        <v>LAFARGE-MARBLEHEAD "OSBORNE-CLEVELAND"</v>
      </c>
      <c r="X289" s="131" t="str">
        <f>+Plant_Information!$B$10</f>
        <v>04105-28</v>
      </c>
      <c r="Y289" s="131" t="str">
        <f>+Plant_Information!$B$11</f>
        <v>2100 CENTRAL FURNACE ROAD</v>
      </c>
      <c r="Z289" s="131" t="str">
        <f>+Plant_Information!$B$12</f>
        <v>CLEVELAND, OH, 44115</v>
      </c>
      <c r="AA289" s="131" t="str">
        <f>+Plant_Information!$B$13</f>
        <v>12</v>
      </c>
      <c r="AB289" s="131" t="str">
        <f>+Plant_Information!$B$14</f>
        <v>CUY</v>
      </c>
      <c r="AC289" s="70"/>
    </row>
    <row r="290" spans="17:29" x14ac:dyDescent="0.2">
      <c r="Q290" t="str">
        <f>Plant_Information!$B$6</f>
        <v>(INSERT VENDOR NAME HERE)</v>
      </c>
      <c r="R290" t="str">
        <f>'HAULING RATES- ODOT Locations'!$A$80</f>
        <v>District 5</v>
      </c>
      <c r="S290" t="str">
        <f>'HAULING RATES- ODOT Locations'!A98</f>
        <v>Muskingum</v>
      </c>
      <c r="T290" t="str">
        <f>'HAULING RATES- ODOT Locations'!B98</f>
        <v>3399 East Pike, Zanesville, OH 43701</v>
      </c>
      <c r="U290" t="str">
        <f>'HAULING RATES- ODOT Locations'!D$8</f>
        <v>Slag</v>
      </c>
      <c r="V290" s="146">
        <f>'HAULING RATES- ODOT Locations'!D98</f>
        <v>0</v>
      </c>
      <c r="W290" s="131" t="str">
        <f>+'Aggregate, Plant Pick-up'!$C$6</f>
        <v>LAFARGE-MARBLEHEAD "OSBORNE-CLEVELAND"</v>
      </c>
      <c r="X290" s="131" t="str">
        <f>+Plant_Information!$B$10</f>
        <v>04105-28</v>
      </c>
      <c r="Y290" s="131" t="str">
        <f>+Plant_Information!$B$11</f>
        <v>2100 CENTRAL FURNACE ROAD</v>
      </c>
      <c r="Z290" s="131" t="str">
        <f>+Plant_Information!$B$12</f>
        <v>CLEVELAND, OH, 44115</v>
      </c>
      <c r="AA290" s="131" t="str">
        <f>+Plant_Information!$B$13</f>
        <v>12</v>
      </c>
      <c r="AB290" s="131" t="str">
        <f>+Plant_Information!$B$14</f>
        <v>CUY</v>
      </c>
      <c r="AC290" s="70"/>
    </row>
    <row r="291" spans="17:29" x14ac:dyDescent="0.2">
      <c r="Q291" t="str">
        <f>Plant_Information!$B$6</f>
        <v>(INSERT VENDOR NAME HERE)</v>
      </c>
      <c r="R291" t="str">
        <f>'HAULING RATES- ODOT Locations'!$A$80</f>
        <v>District 5</v>
      </c>
      <c r="S291" t="str">
        <f>'HAULING RATES- ODOT Locations'!A99</f>
        <v>Muskingum</v>
      </c>
      <c r="T291" t="str">
        <f>'HAULING RATES- ODOT Locations'!B99</f>
        <v>10040 North Pointe Rd., Dresden, OH 43821</v>
      </c>
      <c r="U291" t="str">
        <f>'HAULING RATES- ODOT Locations'!D$8</f>
        <v>Slag</v>
      </c>
      <c r="V291" s="146">
        <f>'HAULING RATES- ODOT Locations'!D99</f>
        <v>0</v>
      </c>
      <c r="W291" s="131" t="str">
        <f>+'Aggregate, Plant Pick-up'!$C$6</f>
        <v>LAFARGE-MARBLEHEAD "OSBORNE-CLEVELAND"</v>
      </c>
      <c r="X291" s="131" t="str">
        <f>+Plant_Information!$B$10</f>
        <v>04105-28</v>
      </c>
      <c r="Y291" s="131" t="str">
        <f>+Plant_Information!$B$11</f>
        <v>2100 CENTRAL FURNACE ROAD</v>
      </c>
      <c r="Z291" s="131" t="str">
        <f>+Plant_Information!$B$12</f>
        <v>CLEVELAND, OH, 44115</v>
      </c>
      <c r="AA291" s="131" t="str">
        <f>+Plant_Information!$B$13</f>
        <v>12</v>
      </c>
      <c r="AB291" s="131" t="str">
        <f>+Plant_Information!$B$14</f>
        <v>CUY</v>
      </c>
      <c r="AC291" s="70"/>
    </row>
    <row r="292" spans="17:29" x14ac:dyDescent="0.2">
      <c r="Q292" t="str">
        <f>Plant_Information!$B$6</f>
        <v>(INSERT VENDOR NAME HERE)</v>
      </c>
      <c r="R292" t="str">
        <f>'HAULING RATES- ODOT Locations'!$A$80</f>
        <v>District 5</v>
      </c>
      <c r="S292" t="str">
        <f>'HAULING RATES- ODOT Locations'!A100</f>
        <v>Muskingum</v>
      </c>
      <c r="T292" t="str">
        <f>'HAULING RATES- ODOT Locations'!B100</f>
        <v>4625 South River Road, Duncan Falls, OH 43734</v>
      </c>
      <c r="U292" t="str">
        <f>'HAULING RATES- ODOT Locations'!D$8</f>
        <v>Slag</v>
      </c>
      <c r="V292" s="146">
        <f>'HAULING RATES- ODOT Locations'!D100</f>
        <v>0</v>
      </c>
      <c r="W292" s="131" t="str">
        <f>+'Aggregate, Plant Pick-up'!$C$6</f>
        <v>LAFARGE-MARBLEHEAD "OSBORNE-CLEVELAND"</v>
      </c>
      <c r="X292" s="131" t="str">
        <f>+Plant_Information!$B$10</f>
        <v>04105-28</v>
      </c>
      <c r="Y292" s="131" t="str">
        <f>+Plant_Information!$B$11</f>
        <v>2100 CENTRAL FURNACE ROAD</v>
      </c>
      <c r="Z292" s="131" t="str">
        <f>+Plant_Information!$B$12</f>
        <v>CLEVELAND, OH, 44115</v>
      </c>
      <c r="AA292" s="131" t="str">
        <f>+Plant_Information!$B$13</f>
        <v>12</v>
      </c>
      <c r="AB292" s="131" t="str">
        <f>+Plant_Information!$B$14</f>
        <v>CUY</v>
      </c>
      <c r="AC292" s="70"/>
    </row>
    <row r="293" spans="17:29" x14ac:dyDescent="0.2">
      <c r="Q293" t="str">
        <f>Plant_Information!$B$6</f>
        <v>(INSERT VENDOR NAME HERE)</v>
      </c>
      <c r="R293" t="str">
        <f>'HAULING RATES- ODOT Locations'!$A$80</f>
        <v>District 5</v>
      </c>
      <c r="S293" t="str">
        <f>'HAULING RATES- ODOT Locations'!A101</f>
        <v>Muskingum</v>
      </c>
      <c r="T293" t="str">
        <f>'HAULING RATES- ODOT Locations'!B101</f>
        <v>Moxahala OP, 3799 Maysville Pike, South Zanesville, OH 43701</v>
      </c>
      <c r="U293" t="str">
        <f>'HAULING RATES- ODOT Locations'!D$8</f>
        <v>Slag</v>
      </c>
      <c r="V293" s="146">
        <f>'HAULING RATES- ODOT Locations'!D101</f>
        <v>0</v>
      </c>
      <c r="W293" s="131" t="str">
        <f>+'Aggregate, Plant Pick-up'!$C$6</f>
        <v>LAFARGE-MARBLEHEAD "OSBORNE-CLEVELAND"</v>
      </c>
      <c r="X293" s="131" t="str">
        <f>+Plant_Information!$B$10</f>
        <v>04105-28</v>
      </c>
      <c r="Y293" s="131" t="str">
        <f>+Plant_Information!$B$11</f>
        <v>2100 CENTRAL FURNACE ROAD</v>
      </c>
      <c r="Z293" s="131" t="str">
        <f>+Plant_Information!$B$12</f>
        <v>CLEVELAND, OH, 44115</v>
      </c>
      <c r="AA293" s="131" t="str">
        <f>+Plant_Information!$B$13</f>
        <v>12</v>
      </c>
      <c r="AB293" s="131" t="str">
        <f>+Plant_Information!$B$14</f>
        <v>CUY</v>
      </c>
      <c r="AC293" s="70"/>
    </row>
    <row r="294" spans="17:29" x14ac:dyDescent="0.2">
      <c r="Q294" t="str">
        <f>Plant_Information!$B$6</f>
        <v>(INSERT VENDOR NAME HERE)</v>
      </c>
      <c r="R294" t="str">
        <f>'HAULING RATES- ODOT Locations'!$A$80</f>
        <v>District 5</v>
      </c>
      <c r="S294" t="str">
        <f>'HAULING RATES- ODOT Locations'!A102</f>
        <v>Perry</v>
      </c>
      <c r="T294" t="str">
        <f>'HAULING RATES- ODOT Locations'!B102</f>
        <v>2405 SR 13, New Lexington, OH 43764  ( 0.3 mi. n. of SR 37)</v>
      </c>
      <c r="U294" t="str">
        <f>'HAULING RATES- ODOT Locations'!D$8</f>
        <v>Slag</v>
      </c>
      <c r="V294" s="146">
        <f>'HAULING RATES- ODOT Locations'!D102</f>
        <v>0</v>
      </c>
      <c r="W294" s="131" t="str">
        <f>+'Aggregate, Plant Pick-up'!$C$6</f>
        <v>LAFARGE-MARBLEHEAD "OSBORNE-CLEVELAND"</v>
      </c>
      <c r="X294" s="131" t="str">
        <f>+Plant_Information!$B$10</f>
        <v>04105-28</v>
      </c>
      <c r="Y294" s="131" t="str">
        <f>+Plant_Information!$B$11</f>
        <v>2100 CENTRAL FURNACE ROAD</v>
      </c>
      <c r="Z294" s="131" t="str">
        <f>+Plant_Information!$B$12</f>
        <v>CLEVELAND, OH, 44115</v>
      </c>
      <c r="AA294" s="131" t="str">
        <f>+Plant_Information!$B$13</f>
        <v>12</v>
      </c>
      <c r="AB294" s="131" t="str">
        <f>+Plant_Information!$B$14</f>
        <v>CUY</v>
      </c>
      <c r="AC294" s="70"/>
    </row>
    <row r="295" spans="17:29" x14ac:dyDescent="0.2">
      <c r="Q295" t="str">
        <f>Plant_Information!$B$6</f>
        <v>(INSERT VENDOR NAME HERE)</v>
      </c>
      <c r="R295" t="str">
        <f>'HAULING RATES- ODOT Locations'!$A$80</f>
        <v>District 5</v>
      </c>
      <c r="S295" t="str">
        <f>'HAULING RATES- ODOT Locations'!A103</f>
        <v>Perry</v>
      </c>
      <c r="T295" t="str">
        <f>'HAULING RATES- ODOT Locations'!B103</f>
        <v>8686 SR 155, Shawnee, OH 43782</v>
      </c>
      <c r="U295" t="str">
        <f>'HAULING RATES- ODOT Locations'!D$8</f>
        <v>Slag</v>
      </c>
      <c r="V295" s="146">
        <f>'HAULING RATES- ODOT Locations'!D103</f>
        <v>0</v>
      </c>
      <c r="W295" s="131" t="str">
        <f>+'Aggregate, Plant Pick-up'!$C$6</f>
        <v>LAFARGE-MARBLEHEAD "OSBORNE-CLEVELAND"</v>
      </c>
      <c r="X295" s="131" t="str">
        <f>+Plant_Information!$B$10</f>
        <v>04105-28</v>
      </c>
      <c r="Y295" s="131" t="str">
        <f>+Plant_Information!$B$11</f>
        <v>2100 CENTRAL FURNACE ROAD</v>
      </c>
      <c r="Z295" s="131" t="str">
        <f>+Plant_Information!$B$12</f>
        <v>CLEVELAND, OH, 44115</v>
      </c>
      <c r="AA295" s="131" t="str">
        <f>+Plant_Information!$B$13</f>
        <v>12</v>
      </c>
      <c r="AB295" s="131" t="str">
        <f>+Plant_Information!$B$14</f>
        <v>CUY</v>
      </c>
      <c r="AC295" s="70"/>
    </row>
    <row r="296" spans="17:29" x14ac:dyDescent="0.2">
      <c r="Q296" t="str">
        <f>Plant_Information!$B$6</f>
        <v>(INSERT VENDOR NAME HERE)</v>
      </c>
      <c r="R296" t="str">
        <f>'HAULING RATES- ODOT Locations'!$A$104</f>
        <v>District 6</v>
      </c>
      <c r="S296" t="str">
        <f>'HAULING RATES- ODOT Locations'!A107</f>
        <v>Delaware</v>
      </c>
      <c r="T296" t="str">
        <f>'HAULING RATES- ODOT Locations'!B107</f>
        <v>Delaware Co. Gar.,1150 U.S. 42 North, Delaware, OH 43015</v>
      </c>
      <c r="U296" t="str">
        <f>'HAULING RATES- ODOT Locations'!D$8</f>
        <v>Slag</v>
      </c>
      <c r="V296" s="146">
        <f>'HAULING RATES- ODOT Locations'!D107</f>
        <v>0</v>
      </c>
      <c r="W296" s="131" t="str">
        <f>+'Aggregate, Plant Pick-up'!$C$6</f>
        <v>LAFARGE-MARBLEHEAD "OSBORNE-CLEVELAND"</v>
      </c>
      <c r="X296" s="131" t="str">
        <f>+Plant_Information!$B$10</f>
        <v>04105-28</v>
      </c>
      <c r="Y296" s="131" t="str">
        <f>+Plant_Information!$B$11</f>
        <v>2100 CENTRAL FURNACE ROAD</v>
      </c>
      <c r="Z296" s="131" t="str">
        <f>+Plant_Information!$B$12</f>
        <v>CLEVELAND, OH, 44115</v>
      </c>
      <c r="AA296" s="131" t="str">
        <f>+Plant_Information!$B$13</f>
        <v>12</v>
      </c>
      <c r="AB296" s="131" t="str">
        <f>+Plant_Information!$B$14</f>
        <v>CUY</v>
      </c>
      <c r="AC296" s="70"/>
    </row>
    <row r="297" spans="17:29" x14ac:dyDescent="0.2">
      <c r="Q297" t="str">
        <f>Plant_Information!$B$6</f>
        <v>(INSERT VENDOR NAME HERE)</v>
      </c>
      <c r="R297" t="str">
        <f>'HAULING RATES- ODOT Locations'!$A$104</f>
        <v>District 6</v>
      </c>
      <c r="S297" t="str">
        <f>'HAULING RATES- ODOT Locations'!A108</f>
        <v>Delaware</v>
      </c>
      <c r="T297" t="str">
        <f>'HAULING RATES- ODOT Locations'!B108</f>
        <v>Berkshire OP, 7016 E State Route 37, Sunbury, Oh  43074</v>
      </c>
      <c r="U297" t="str">
        <f>'HAULING RATES- ODOT Locations'!D$8</f>
        <v>Slag</v>
      </c>
      <c r="V297" s="146">
        <f>'HAULING RATES- ODOT Locations'!D108</f>
        <v>0</v>
      </c>
      <c r="W297" s="131" t="str">
        <f>+'Aggregate, Plant Pick-up'!$C$6</f>
        <v>LAFARGE-MARBLEHEAD "OSBORNE-CLEVELAND"</v>
      </c>
      <c r="X297" s="131" t="str">
        <f>+Plant_Information!$B$10</f>
        <v>04105-28</v>
      </c>
      <c r="Y297" s="131" t="str">
        <f>+Plant_Information!$B$11</f>
        <v>2100 CENTRAL FURNACE ROAD</v>
      </c>
      <c r="Z297" s="131" t="str">
        <f>+Plant_Information!$B$12</f>
        <v>CLEVELAND, OH, 44115</v>
      </c>
      <c r="AA297" s="131" t="str">
        <f>+Plant_Information!$B$13</f>
        <v>12</v>
      </c>
      <c r="AB297" s="131" t="str">
        <f>+Plant_Information!$B$14</f>
        <v>CUY</v>
      </c>
      <c r="AC297" s="70"/>
    </row>
    <row r="298" spans="17:29" x14ac:dyDescent="0.2">
      <c r="Q298" t="str">
        <f>Plant_Information!$B$6</f>
        <v>(INSERT VENDOR NAME HERE)</v>
      </c>
      <c r="R298" t="str">
        <f>'HAULING RATES- ODOT Locations'!$A$104</f>
        <v>District 6</v>
      </c>
      <c r="S298" t="str">
        <f>'HAULING RATES- ODOT Locations'!A109</f>
        <v>Delaware</v>
      </c>
      <c r="T298" t="str">
        <f>'HAULING RATES- ODOT Locations'!B109</f>
        <v>Sunbury OP, Morning St., Sunbury</v>
      </c>
      <c r="U298" t="str">
        <f>'HAULING RATES- ODOT Locations'!D$8</f>
        <v>Slag</v>
      </c>
      <c r="V298" s="146">
        <f>'HAULING RATES- ODOT Locations'!D109</f>
        <v>0</v>
      </c>
      <c r="W298" s="131" t="str">
        <f>+'Aggregate, Plant Pick-up'!$C$6</f>
        <v>LAFARGE-MARBLEHEAD "OSBORNE-CLEVELAND"</v>
      </c>
      <c r="X298" s="131" t="str">
        <f>+Plant_Information!$B$10</f>
        <v>04105-28</v>
      </c>
      <c r="Y298" s="131" t="str">
        <f>+Plant_Information!$B$11</f>
        <v>2100 CENTRAL FURNACE ROAD</v>
      </c>
      <c r="Z298" s="131" t="str">
        <f>+Plant_Information!$B$12</f>
        <v>CLEVELAND, OH, 44115</v>
      </c>
      <c r="AA298" s="131" t="str">
        <f>+Plant_Information!$B$13</f>
        <v>12</v>
      </c>
      <c r="AB298" s="131" t="str">
        <f>+Plant_Information!$B$14</f>
        <v>CUY</v>
      </c>
      <c r="AC298" s="70"/>
    </row>
    <row r="299" spans="17:29" x14ac:dyDescent="0.2">
      <c r="Q299" t="str">
        <f>Plant_Information!$B$6</f>
        <v>(INSERT VENDOR NAME HERE)</v>
      </c>
      <c r="R299" t="str">
        <f>'HAULING RATES- ODOT Locations'!$A$104</f>
        <v>District 6</v>
      </c>
      <c r="S299" t="str">
        <f>'HAULING RATES- ODOT Locations'!A110</f>
        <v>Fayette</v>
      </c>
      <c r="T299" t="str">
        <f>'HAULING RATES- ODOT Locations'!B110</f>
        <v>Fayette Co. Gar., 2331 US 22 SW, Washington Court House, OH 43160</v>
      </c>
      <c r="U299" t="str">
        <f>'HAULING RATES- ODOT Locations'!D$8</f>
        <v>Slag</v>
      </c>
      <c r="V299" s="146">
        <f>'HAULING RATES- ODOT Locations'!D110</f>
        <v>0</v>
      </c>
      <c r="W299" s="131" t="str">
        <f>+'Aggregate, Plant Pick-up'!$C$6</f>
        <v>LAFARGE-MARBLEHEAD "OSBORNE-CLEVELAND"</v>
      </c>
      <c r="X299" s="131" t="str">
        <f>+Plant_Information!$B$10</f>
        <v>04105-28</v>
      </c>
      <c r="Y299" s="131" t="str">
        <f>+Plant_Information!$B$11</f>
        <v>2100 CENTRAL FURNACE ROAD</v>
      </c>
      <c r="Z299" s="131" t="str">
        <f>+Plant_Information!$B$12</f>
        <v>CLEVELAND, OH, 44115</v>
      </c>
      <c r="AA299" s="131" t="str">
        <f>+Plant_Information!$B$13</f>
        <v>12</v>
      </c>
      <c r="AB299" s="131" t="str">
        <f>+Plant_Information!$B$14</f>
        <v>CUY</v>
      </c>
      <c r="AC299" s="70"/>
    </row>
    <row r="300" spans="17:29" x14ac:dyDescent="0.2">
      <c r="Q300" t="str">
        <f>Plant_Information!$B$6</f>
        <v>(INSERT VENDOR NAME HERE)</v>
      </c>
      <c r="R300" t="str">
        <f>'HAULING RATES- ODOT Locations'!$A$104</f>
        <v>District 6</v>
      </c>
      <c r="S300" t="str">
        <f>'HAULING RATES- ODOT Locations'!A111</f>
        <v>Fayette</v>
      </c>
      <c r="T300" t="str">
        <f>'HAULING RATES- ODOT Locations'!B111</f>
        <v>Jeffersonville OP, 11859 OH-435, Jeffersonville, OH 43128</v>
      </c>
      <c r="U300" t="str">
        <f>'HAULING RATES- ODOT Locations'!D$8</f>
        <v>Slag</v>
      </c>
      <c r="V300" s="146">
        <f>'HAULING RATES- ODOT Locations'!D111</f>
        <v>0</v>
      </c>
      <c r="W300" s="131" t="str">
        <f>+'Aggregate, Plant Pick-up'!$C$6</f>
        <v>LAFARGE-MARBLEHEAD "OSBORNE-CLEVELAND"</v>
      </c>
      <c r="X300" s="131" t="str">
        <f>+Plant_Information!$B$10</f>
        <v>04105-28</v>
      </c>
      <c r="Y300" s="131" t="str">
        <f>+Plant_Information!$B$11</f>
        <v>2100 CENTRAL FURNACE ROAD</v>
      </c>
      <c r="Z300" s="131" t="str">
        <f>+Plant_Information!$B$12</f>
        <v>CLEVELAND, OH, 44115</v>
      </c>
      <c r="AA300" s="131" t="str">
        <f>+Plant_Information!$B$13</f>
        <v>12</v>
      </c>
      <c r="AB300" s="131" t="str">
        <f>+Plant_Information!$B$14</f>
        <v>CUY</v>
      </c>
      <c r="AC300" s="70"/>
    </row>
    <row r="301" spans="17:29" x14ac:dyDescent="0.2">
      <c r="Q301" t="str">
        <f>Plant_Information!$B$6</f>
        <v>(INSERT VENDOR NAME HERE)</v>
      </c>
      <c r="R301" t="str">
        <f>'HAULING RATES- ODOT Locations'!$A$104</f>
        <v>District 6</v>
      </c>
      <c r="S301" t="str">
        <f>'HAULING RATES- ODOT Locations'!A112</f>
        <v>Franklin</v>
      </c>
      <c r="T301" t="str">
        <f>'HAULING RATES- ODOT Locations'!B112</f>
        <v>Fifth Ave. OP, 3500 E Fifth Avenue, Columbus OH 43219</v>
      </c>
      <c r="U301" t="str">
        <f>'HAULING RATES- ODOT Locations'!D$8</f>
        <v>Slag</v>
      </c>
      <c r="V301" s="146">
        <f>'HAULING RATES- ODOT Locations'!D112</f>
        <v>0</v>
      </c>
      <c r="W301" s="131" t="str">
        <f>+'Aggregate, Plant Pick-up'!$C$6</f>
        <v>LAFARGE-MARBLEHEAD "OSBORNE-CLEVELAND"</v>
      </c>
      <c r="X301" s="131" t="str">
        <f>+Plant_Information!$B$10</f>
        <v>04105-28</v>
      </c>
      <c r="Y301" s="131" t="str">
        <f>+Plant_Information!$B$11</f>
        <v>2100 CENTRAL FURNACE ROAD</v>
      </c>
      <c r="Z301" s="131" t="str">
        <f>+Plant_Information!$B$12</f>
        <v>CLEVELAND, OH, 44115</v>
      </c>
      <c r="AA301" s="131" t="str">
        <f>+Plant_Information!$B$13</f>
        <v>12</v>
      </c>
      <c r="AB301" s="131" t="str">
        <f>+Plant_Information!$B$14</f>
        <v>CUY</v>
      </c>
      <c r="AC301" s="70"/>
    </row>
    <row r="302" spans="17:29" x14ac:dyDescent="0.2">
      <c r="Q302" t="str">
        <f>Plant_Information!$B$6</f>
        <v>(INSERT VENDOR NAME HERE)</v>
      </c>
      <c r="R302" t="str">
        <f>'HAULING RATES- ODOT Locations'!$A$104</f>
        <v>District 6</v>
      </c>
      <c r="S302" t="str">
        <f>'HAULING RATES- ODOT Locations'!A113</f>
        <v>Franklin</v>
      </c>
      <c r="T302" t="str">
        <f>'HAULING RATES- ODOT Locations'!B113</f>
        <v>Grove City OP, 6000 Haughn Road, Grove City OH 43123 (SR 665 &amp; I-71)</v>
      </c>
      <c r="U302" t="str">
        <f>'HAULING RATES- ODOT Locations'!D$8</f>
        <v>Slag</v>
      </c>
      <c r="V302" s="146">
        <f>'HAULING RATES- ODOT Locations'!D113</f>
        <v>0</v>
      </c>
      <c r="W302" s="131" t="str">
        <f>+'Aggregate, Plant Pick-up'!$C$6</f>
        <v>LAFARGE-MARBLEHEAD "OSBORNE-CLEVELAND"</v>
      </c>
      <c r="X302" s="131" t="str">
        <f>+Plant_Information!$B$10</f>
        <v>04105-28</v>
      </c>
      <c r="Y302" s="131" t="str">
        <f>+Plant_Information!$B$11</f>
        <v>2100 CENTRAL FURNACE ROAD</v>
      </c>
      <c r="Z302" s="131" t="str">
        <f>+Plant_Information!$B$12</f>
        <v>CLEVELAND, OH, 44115</v>
      </c>
      <c r="AA302" s="131" t="str">
        <f>+Plant_Information!$B$13</f>
        <v>12</v>
      </c>
      <c r="AB302" s="131" t="str">
        <f>+Plant_Information!$B$14</f>
        <v>CUY</v>
      </c>
      <c r="AC302" s="70"/>
    </row>
    <row r="303" spans="17:29" x14ac:dyDescent="0.2">
      <c r="Q303" t="str">
        <f>Plant_Information!$B$6</f>
        <v>(INSERT VENDOR NAME HERE)</v>
      </c>
      <c r="R303" t="str">
        <f>'HAULING RATES- ODOT Locations'!$A$104</f>
        <v>District 6</v>
      </c>
      <c r="S303" t="str">
        <f>'HAULING RATES- ODOT Locations'!A114</f>
        <v>Franklin</v>
      </c>
      <c r="T303" t="str">
        <f>'HAULING RATES- ODOT Locations'!B114</f>
        <v>Franklin Co. Gar.,4730 E Dublin-Granville Road, Westerville OH 43081</v>
      </c>
      <c r="U303" t="str">
        <f>'HAULING RATES- ODOT Locations'!D$8</f>
        <v>Slag</v>
      </c>
      <c r="V303" s="146">
        <f>'HAULING RATES- ODOT Locations'!D114</f>
        <v>0</v>
      </c>
      <c r="W303" s="131" t="str">
        <f>+'Aggregate, Plant Pick-up'!$C$6</f>
        <v>LAFARGE-MARBLEHEAD "OSBORNE-CLEVELAND"</v>
      </c>
      <c r="X303" s="131" t="str">
        <f>+Plant_Information!$B$10</f>
        <v>04105-28</v>
      </c>
      <c r="Y303" s="131" t="str">
        <f>+Plant_Information!$B$11</f>
        <v>2100 CENTRAL FURNACE ROAD</v>
      </c>
      <c r="Z303" s="131" t="str">
        <f>+Plant_Information!$B$12</f>
        <v>CLEVELAND, OH, 44115</v>
      </c>
      <c r="AA303" s="131" t="str">
        <f>+Plant_Information!$B$13</f>
        <v>12</v>
      </c>
      <c r="AB303" s="131" t="str">
        <f>+Plant_Information!$B$14</f>
        <v>CUY</v>
      </c>
      <c r="AC303" s="70"/>
    </row>
    <row r="304" spans="17:29" x14ac:dyDescent="0.2">
      <c r="Q304" t="str">
        <f>Plant_Information!$B$6</f>
        <v>(INSERT VENDOR NAME HERE)</v>
      </c>
      <c r="R304" t="str">
        <f>'HAULING RATES- ODOT Locations'!$A$104</f>
        <v>District 6</v>
      </c>
      <c r="S304" t="str">
        <f>'HAULING RATES- ODOT Locations'!A115</f>
        <v>Franklin</v>
      </c>
      <c r="T304" t="str">
        <f>'HAULING RATES- ODOT Locations'!B115</f>
        <v>Hilliard OP, 4400 Currency Drive, Columbus OH 43288</v>
      </c>
      <c r="U304" t="str">
        <f>'HAULING RATES- ODOT Locations'!D$8</f>
        <v>Slag</v>
      </c>
      <c r="V304" s="146">
        <f>'HAULING RATES- ODOT Locations'!D115</f>
        <v>0</v>
      </c>
      <c r="W304" s="131" t="str">
        <f>+'Aggregate, Plant Pick-up'!$C$6</f>
        <v>LAFARGE-MARBLEHEAD "OSBORNE-CLEVELAND"</v>
      </c>
      <c r="X304" s="131" t="str">
        <f>+Plant_Information!$B$10</f>
        <v>04105-28</v>
      </c>
      <c r="Y304" s="131" t="str">
        <f>+Plant_Information!$B$11</f>
        <v>2100 CENTRAL FURNACE ROAD</v>
      </c>
      <c r="Z304" s="131" t="str">
        <f>+Plant_Information!$B$12</f>
        <v>CLEVELAND, OH, 44115</v>
      </c>
      <c r="AA304" s="131" t="str">
        <f>+Plant_Information!$B$13</f>
        <v>12</v>
      </c>
      <c r="AB304" s="131" t="str">
        <f>+Plant_Information!$B$14</f>
        <v>CUY</v>
      </c>
      <c r="AC304" s="70"/>
    </row>
    <row r="305" spans="17:29" x14ac:dyDescent="0.2">
      <c r="Q305" t="str">
        <f>Plant_Information!$B$6</f>
        <v>(INSERT VENDOR NAME HERE)</v>
      </c>
      <c r="R305" t="str">
        <f>'HAULING RATES- ODOT Locations'!$A$104</f>
        <v>District 6</v>
      </c>
      <c r="S305" t="str">
        <f>'HAULING RATES- ODOT Locations'!A116</f>
        <v>Madison</v>
      </c>
      <c r="T305" t="str">
        <f>'HAULING RATES- ODOT Locations'!B116</f>
        <v>6640 State Route 29, West Jefferson, OH  43162</v>
      </c>
      <c r="U305" t="str">
        <f>'HAULING RATES- ODOT Locations'!D$8</f>
        <v>Slag</v>
      </c>
      <c r="V305" s="146">
        <f>'HAULING RATES- ODOT Locations'!D116</f>
        <v>0</v>
      </c>
      <c r="W305" s="131" t="str">
        <f>+'Aggregate, Plant Pick-up'!$C$6</f>
        <v>LAFARGE-MARBLEHEAD "OSBORNE-CLEVELAND"</v>
      </c>
      <c r="X305" s="131" t="str">
        <f>+Plant_Information!$B$10</f>
        <v>04105-28</v>
      </c>
      <c r="Y305" s="131" t="str">
        <f>+Plant_Information!$B$11</f>
        <v>2100 CENTRAL FURNACE ROAD</v>
      </c>
      <c r="Z305" s="131" t="str">
        <f>+Plant_Information!$B$12</f>
        <v>CLEVELAND, OH, 44115</v>
      </c>
      <c r="AA305" s="131" t="str">
        <f>+Plant_Information!$B$13</f>
        <v>12</v>
      </c>
      <c r="AB305" s="131" t="str">
        <f>+Plant_Information!$B$14</f>
        <v>CUY</v>
      </c>
      <c r="AC305" s="70"/>
    </row>
    <row r="306" spans="17:29" x14ac:dyDescent="0.2">
      <c r="Q306" t="str">
        <f>Plant_Information!$B$6</f>
        <v>(INSERT VENDOR NAME HERE)</v>
      </c>
      <c r="R306" t="str">
        <f>'HAULING RATES- ODOT Locations'!$A$104</f>
        <v>District 6</v>
      </c>
      <c r="S306" t="str">
        <f>'HAULING RATES- ODOT Locations'!A117</f>
        <v>Madison</v>
      </c>
      <c r="T306" t="str">
        <f>'HAULING RATES- ODOT Locations'!B117</f>
        <v>15664 US 62, Mount Sterling, OH 43143</v>
      </c>
      <c r="U306" t="str">
        <f>'HAULING RATES- ODOT Locations'!D$8</f>
        <v>Slag</v>
      </c>
      <c r="V306" s="146">
        <f>'HAULING RATES- ODOT Locations'!D117</f>
        <v>0</v>
      </c>
      <c r="W306" s="131" t="str">
        <f>+'Aggregate, Plant Pick-up'!$C$6</f>
        <v>LAFARGE-MARBLEHEAD "OSBORNE-CLEVELAND"</v>
      </c>
      <c r="X306" s="131" t="str">
        <f>+Plant_Information!$B$10</f>
        <v>04105-28</v>
      </c>
      <c r="Y306" s="131" t="str">
        <f>+Plant_Information!$B$11</f>
        <v>2100 CENTRAL FURNACE ROAD</v>
      </c>
      <c r="Z306" s="131" t="str">
        <f>+Plant_Information!$B$12</f>
        <v>CLEVELAND, OH, 44115</v>
      </c>
      <c r="AA306" s="131" t="str">
        <f>+Plant_Information!$B$13</f>
        <v>12</v>
      </c>
      <c r="AB306" s="131" t="str">
        <f>+Plant_Information!$B$14</f>
        <v>CUY</v>
      </c>
      <c r="AC306" s="70"/>
    </row>
    <row r="307" spans="17:29" x14ac:dyDescent="0.2">
      <c r="Q307" t="str">
        <f>Plant_Information!$B$6</f>
        <v>(INSERT VENDOR NAME HERE)</v>
      </c>
      <c r="R307" t="str">
        <f>'HAULING RATES- ODOT Locations'!$A$104</f>
        <v>District 6</v>
      </c>
      <c r="S307" t="str">
        <f>'HAULING RATES- ODOT Locations'!A118</f>
        <v>Marion</v>
      </c>
      <c r="T307" t="str">
        <f>'HAULING RATES- ODOT Locations'!B118</f>
        <v>Marion Co. Gar., 1775 Marion-Williamsport Road E., Marion, OH 43302</v>
      </c>
      <c r="U307" t="str">
        <f>'HAULING RATES- ODOT Locations'!D$8</f>
        <v>Slag</v>
      </c>
      <c r="V307" s="146">
        <f>'HAULING RATES- ODOT Locations'!D118</f>
        <v>0</v>
      </c>
      <c r="W307" s="131" t="str">
        <f>+'Aggregate, Plant Pick-up'!$C$6</f>
        <v>LAFARGE-MARBLEHEAD "OSBORNE-CLEVELAND"</v>
      </c>
      <c r="X307" s="131" t="str">
        <f>+Plant_Information!$B$10</f>
        <v>04105-28</v>
      </c>
      <c r="Y307" s="131" t="str">
        <f>+Plant_Information!$B$11</f>
        <v>2100 CENTRAL FURNACE ROAD</v>
      </c>
      <c r="Z307" s="131" t="str">
        <f>+Plant_Information!$B$12</f>
        <v>CLEVELAND, OH, 44115</v>
      </c>
      <c r="AA307" s="131" t="str">
        <f>+Plant_Information!$B$13</f>
        <v>12</v>
      </c>
      <c r="AB307" s="131" t="str">
        <f>+Plant_Information!$B$14</f>
        <v>CUY</v>
      </c>
      <c r="AC307" s="70"/>
    </row>
    <row r="308" spans="17:29" x14ac:dyDescent="0.2">
      <c r="Q308" t="str">
        <f>Plant_Information!$B$6</f>
        <v>(INSERT VENDOR NAME HERE)</v>
      </c>
      <c r="R308" t="str">
        <f>'HAULING RATES- ODOT Locations'!$A$104</f>
        <v>District 6</v>
      </c>
      <c r="S308" t="str">
        <f>'HAULING RATES- ODOT Locations'!A119</f>
        <v>Morrow</v>
      </c>
      <c r="T308" t="str">
        <f>'HAULING RATES- ODOT Locations'!B119</f>
        <v>Chesterville OP, 3988 Co Rd 172, Mount Gilead, OH 43338</v>
      </c>
      <c r="U308" t="str">
        <f>'HAULING RATES- ODOT Locations'!D$8</f>
        <v>Slag</v>
      </c>
      <c r="V308" s="146">
        <f>'HAULING RATES- ODOT Locations'!D119</f>
        <v>0</v>
      </c>
      <c r="W308" s="131" t="str">
        <f>+'Aggregate, Plant Pick-up'!$C$6</f>
        <v>LAFARGE-MARBLEHEAD "OSBORNE-CLEVELAND"</v>
      </c>
      <c r="X308" s="131" t="str">
        <f>+Plant_Information!$B$10</f>
        <v>04105-28</v>
      </c>
      <c r="Y308" s="131" t="str">
        <f>+Plant_Information!$B$11</f>
        <v>2100 CENTRAL FURNACE ROAD</v>
      </c>
      <c r="Z308" s="131" t="str">
        <f>+Plant_Information!$B$12</f>
        <v>CLEVELAND, OH, 44115</v>
      </c>
      <c r="AA308" s="131" t="str">
        <f>+Plant_Information!$B$13</f>
        <v>12</v>
      </c>
      <c r="AB308" s="131" t="str">
        <f>+Plant_Information!$B$14</f>
        <v>CUY</v>
      </c>
      <c r="AC308" s="70"/>
    </row>
    <row r="309" spans="17:29" x14ac:dyDescent="0.2">
      <c r="Q309" t="str">
        <f>Plant_Information!$B$6</f>
        <v>(INSERT VENDOR NAME HERE)</v>
      </c>
      <c r="R309" t="str">
        <f>'HAULING RATES- ODOT Locations'!$A$104</f>
        <v>District 6</v>
      </c>
      <c r="S309" t="str">
        <f>'HAULING RATES- ODOT Locations'!A120</f>
        <v>Morrow</v>
      </c>
      <c r="T309" t="str">
        <f>'HAULING RATES- ODOT Locations'!B120</f>
        <v>Morrow Co. Gar., 710 E. Union St, Mt. Gilead, OH 43338</v>
      </c>
      <c r="U309" t="str">
        <f>'HAULING RATES- ODOT Locations'!D$8</f>
        <v>Slag</v>
      </c>
      <c r="V309" s="146">
        <f>'HAULING RATES- ODOT Locations'!D120</f>
        <v>0</v>
      </c>
      <c r="W309" s="131" t="str">
        <f>+'Aggregate, Plant Pick-up'!$C$6</f>
        <v>LAFARGE-MARBLEHEAD "OSBORNE-CLEVELAND"</v>
      </c>
      <c r="X309" s="131" t="str">
        <f>+Plant_Information!$B$10</f>
        <v>04105-28</v>
      </c>
      <c r="Y309" s="131" t="str">
        <f>+Plant_Information!$B$11</f>
        <v>2100 CENTRAL FURNACE ROAD</v>
      </c>
      <c r="Z309" s="131" t="str">
        <f>+Plant_Information!$B$12</f>
        <v>CLEVELAND, OH, 44115</v>
      </c>
      <c r="AA309" s="131" t="str">
        <f>+Plant_Information!$B$13</f>
        <v>12</v>
      </c>
      <c r="AB309" s="131" t="str">
        <f>+Plant_Information!$B$14</f>
        <v>CUY</v>
      </c>
      <c r="AC309" s="70"/>
    </row>
    <row r="310" spans="17:29" x14ac:dyDescent="0.2">
      <c r="Q310" t="str">
        <f>Plant_Information!$B$6</f>
        <v>(INSERT VENDOR NAME HERE)</v>
      </c>
      <c r="R310" t="str">
        <f>'HAULING RATES- ODOT Locations'!$A$104</f>
        <v>District 6</v>
      </c>
      <c r="S310" t="str">
        <f>'HAULING RATES- ODOT Locations'!A121</f>
        <v>Pickaway</v>
      </c>
      <c r="T310" t="str">
        <f>'HAULING RATES- ODOT Locations'!B121</f>
        <v>Pickaway Co. Gar., 150 Highland Avenue, Circleville, OH 43113</v>
      </c>
      <c r="U310" t="str">
        <f>'HAULING RATES- ODOT Locations'!D$8</f>
        <v>Slag</v>
      </c>
      <c r="V310" s="146">
        <f>'HAULING RATES- ODOT Locations'!D121</f>
        <v>0</v>
      </c>
      <c r="W310" s="131" t="str">
        <f>+'Aggregate, Plant Pick-up'!$C$6</f>
        <v>LAFARGE-MARBLEHEAD "OSBORNE-CLEVELAND"</v>
      </c>
      <c r="X310" s="131" t="str">
        <f>+Plant_Information!$B$10</f>
        <v>04105-28</v>
      </c>
      <c r="Y310" s="131" t="str">
        <f>+Plant_Information!$B$11</f>
        <v>2100 CENTRAL FURNACE ROAD</v>
      </c>
      <c r="Z310" s="131" t="str">
        <f>+Plant_Information!$B$12</f>
        <v>CLEVELAND, OH, 44115</v>
      </c>
      <c r="AA310" s="131" t="str">
        <f>+Plant_Information!$B$13</f>
        <v>12</v>
      </c>
      <c r="AB310" s="131" t="str">
        <f>+Plant_Information!$B$14</f>
        <v>CUY</v>
      </c>
      <c r="AC310" s="70"/>
    </row>
    <row r="311" spans="17:29" x14ac:dyDescent="0.2">
      <c r="Q311" t="str">
        <f>Plant_Information!$B$6</f>
        <v>(INSERT VENDOR NAME HERE)</v>
      </c>
      <c r="R311" t="str">
        <f>'HAULING RATES- ODOT Locations'!$A$104</f>
        <v>District 6</v>
      </c>
      <c r="S311" t="str">
        <f>'HAULING RATES- ODOT Locations'!A122</f>
        <v>Union</v>
      </c>
      <c r="T311" t="str">
        <f>'HAULING RATES- ODOT Locations'!B122</f>
        <v>Union Co. Gar., 1717 Collins Ave Marysville, OH  43040</v>
      </c>
      <c r="U311" t="str">
        <f>'HAULING RATES- ODOT Locations'!D$8</f>
        <v>Slag</v>
      </c>
      <c r="V311" s="146">
        <f>'HAULING RATES- ODOT Locations'!D122</f>
        <v>0</v>
      </c>
      <c r="W311" s="131" t="str">
        <f>+'Aggregate, Plant Pick-up'!$C$6</f>
        <v>LAFARGE-MARBLEHEAD "OSBORNE-CLEVELAND"</v>
      </c>
      <c r="X311" s="131" t="str">
        <f>+Plant_Information!$B$10</f>
        <v>04105-28</v>
      </c>
      <c r="Y311" s="131" t="str">
        <f>+Plant_Information!$B$11</f>
        <v>2100 CENTRAL FURNACE ROAD</v>
      </c>
      <c r="Z311" s="131" t="str">
        <f>+Plant_Information!$B$12</f>
        <v>CLEVELAND, OH, 44115</v>
      </c>
      <c r="AA311" s="131" t="str">
        <f>+Plant_Information!$B$13</f>
        <v>12</v>
      </c>
      <c r="AB311" s="131" t="str">
        <f>+Plant_Information!$B$14</f>
        <v>CUY</v>
      </c>
      <c r="AC311" s="70"/>
    </row>
    <row r="312" spans="17:29" x14ac:dyDescent="0.2">
      <c r="Q312" t="str">
        <f>Plant_Information!$B$6</f>
        <v>(INSERT VENDOR NAME HERE)</v>
      </c>
      <c r="R312" t="str">
        <f>'HAULING RATES- ODOT Locations'!$A$104</f>
        <v>District 6</v>
      </c>
      <c r="S312" t="str">
        <f>'HAULING RATES- ODOT Locations'!A123</f>
        <v>Union</v>
      </c>
      <c r="T312" t="str">
        <f>'HAULING RATES- ODOT Locations'!B123</f>
        <v>Richwood OP, 11304 SR 47, Richwood, OH 43344</v>
      </c>
      <c r="U312" t="str">
        <f>'HAULING RATES- ODOT Locations'!D$8</f>
        <v>Slag</v>
      </c>
      <c r="V312" s="146">
        <f>'HAULING RATES- ODOT Locations'!D123</f>
        <v>0</v>
      </c>
      <c r="W312" s="131" t="str">
        <f>+'Aggregate, Plant Pick-up'!$C$6</f>
        <v>LAFARGE-MARBLEHEAD "OSBORNE-CLEVELAND"</v>
      </c>
      <c r="X312" s="131" t="str">
        <f>+Plant_Information!$B$10</f>
        <v>04105-28</v>
      </c>
      <c r="Y312" s="131" t="str">
        <f>+Plant_Information!$B$11</f>
        <v>2100 CENTRAL FURNACE ROAD</v>
      </c>
      <c r="Z312" s="131" t="str">
        <f>+Plant_Information!$B$12</f>
        <v>CLEVELAND, OH, 44115</v>
      </c>
      <c r="AA312" s="131" t="str">
        <f>+Plant_Information!$B$13</f>
        <v>12</v>
      </c>
      <c r="AB312" s="131" t="str">
        <f>+Plant_Information!$B$14</f>
        <v>CUY</v>
      </c>
      <c r="AC312" s="70"/>
    </row>
    <row r="313" spans="17:29" x14ac:dyDescent="0.2">
      <c r="Q313" t="str">
        <f>Plant_Information!$B$6</f>
        <v>(INSERT VENDOR NAME HERE)</v>
      </c>
      <c r="R313" t="str">
        <f>'HAULING RATES- ODOT Locations'!$A$124</f>
        <v>District 7</v>
      </c>
      <c r="S313" t="str">
        <f>'HAULING RATES- ODOT Locations'!A127</f>
        <v>Auglaize</v>
      </c>
      <c r="T313" t="str">
        <f>'HAULING RATES- ODOT Locations'!B127</f>
        <v>511 Commerce Dr., Wapakoneta, OH 45895</v>
      </c>
      <c r="U313" t="str">
        <f>'HAULING RATES- ODOT Locations'!D$8</f>
        <v>Slag</v>
      </c>
      <c r="V313" s="146">
        <f>'HAULING RATES- ODOT Locations'!D127</f>
        <v>0</v>
      </c>
      <c r="W313" s="131" t="str">
        <f>+'Aggregate, Plant Pick-up'!$C$6</f>
        <v>LAFARGE-MARBLEHEAD "OSBORNE-CLEVELAND"</v>
      </c>
      <c r="X313" s="131" t="str">
        <f>+Plant_Information!$B$10</f>
        <v>04105-28</v>
      </c>
      <c r="Y313" s="131" t="str">
        <f>+Plant_Information!$B$11</f>
        <v>2100 CENTRAL FURNACE ROAD</v>
      </c>
      <c r="Z313" s="131" t="str">
        <f>+Plant_Information!$B$12</f>
        <v>CLEVELAND, OH, 44115</v>
      </c>
      <c r="AA313" s="131" t="str">
        <f>+Plant_Information!$B$13</f>
        <v>12</v>
      </c>
      <c r="AB313" s="131" t="str">
        <f>+Plant_Information!$B$14</f>
        <v>CUY</v>
      </c>
      <c r="AC313" s="70"/>
    </row>
    <row r="314" spans="17:29" x14ac:dyDescent="0.2">
      <c r="Q314" t="str">
        <f>Plant_Information!$B$6</f>
        <v>(INSERT VENDOR NAME HERE)</v>
      </c>
      <c r="R314" t="str">
        <f>'HAULING RATES- ODOT Locations'!$A$124</f>
        <v>District 7</v>
      </c>
      <c r="S314" t="str">
        <f>'HAULING RATES- ODOT Locations'!A128</f>
        <v>Auglaize</v>
      </c>
      <c r="T314" t="str">
        <f>'HAULING RATES- ODOT Locations'!B128</f>
        <v>802 Armstrong Street, Saint Marys, OH 45885</v>
      </c>
      <c r="U314" t="str">
        <f>'HAULING RATES- ODOT Locations'!D$8</f>
        <v>Slag</v>
      </c>
      <c r="V314" s="146">
        <f>'HAULING RATES- ODOT Locations'!D128</f>
        <v>0</v>
      </c>
      <c r="W314" s="131" t="str">
        <f>+'Aggregate, Plant Pick-up'!$C$6</f>
        <v>LAFARGE-MARBLEHEAD "OSBORNE-CLEVELAND"</v>
      </c>
      <c r="X314" s="131" t="str">
        <f>+Plant_Information!$B$10</f>
        <v>04105-28</v>
      </c>
      <c r="Y314" s="131" t="str">
        <f>+Plant_Information!$B$11</f>
        <v>2100 CENTRAL FURNACE ROAD</v>
      </c>
      <c r="Z314" s="131" t="str">
        <f>+Plant_Information!$B$12</f>
        <v>CLEVELAND, OH, 44115</v>
      </c>
      <c r="AA314" s="131" t="str">
        <f>+Plant_Information!$B$13</f>
        <v>12</v>
      </c>
      <c r="AB314" s="131" t="str">
        <f>+Plant_Information!$B$14</f>
        <v>CUY</v>
      </c>
      <c r="AC314" s="70"/>
    </row>
    <row r="315" spans="17:29" x14ac:dyDescent="0.2">
      <c r="Q315" t="str">
        <f>Plant_Information!$B$6</f>
        <v>(INSERT VENDOR NAME HERE)</v>
      </c>
      <c r="R315" t="str">
        <f>'HAULING RATES- ODOT Locations'!$A$124</f>
        <v>District 7</v>
      </c>
      <c r="S315" t="str">
        <f>'HAULING RATES- ODOT Locations'!A129</f>
        <v>Champaign</v>
      </c>
      <c r="T315" t="str">
        <f>'HAULING RATES- ODOT Locations'!B129</f>
        <v>2030 N. State Route 235, St. Paris, OH 43084</v>
      </c>
      <c r="U315" t="str">
        <f>'HAULING RATES- ODOT Locations'!D$8</f>
        <v>Slag</v>
      </c>
      <c r="V315" s="146">
        <f>'HAULING RATES- ODOT Locations'!D129</f>
        <v>0</v>
      </c>
      <c r="W315" s="131" t="str">
        <f>+'Aggregate, Plant Pick-up'!$C$6</f>
        <v>LAFARGE-MARBLEHEAD "OSBORNE-CLEVELAND"</v>
      </c>
      <c r="X315" s="131" t="str">
        <f>+Plant_Information!$B$10</f>
        <v>04105-28</v>
      </c>
      <c r="Y315" s="131" t="str">
        <f>+Plant_Information!$B$11</f>
        <v>2100 CENTRAL FURNACE ROAD</v>
      </c>
      <c r="Z315" s="131" t="str">
        <f>+Plant_Information!$B$12</f>
        <v>CLEVELAND, OH, 44115</v>
      </c>
      <c r="AA315" s="131" t="str">
        <f>+Plant_Information!$B$13</f>
        <v>12</v>
      </c>
      <c r="AB315" s="131" t="str">
        <f>+Plant_Information!$B$14</f>
        <v>CUY</v>
      </c>
      <c r="AC315" s="70"/>
    </row>
    <row r="316" spans="17:29" x14ac:dyDescent="0.2">
      <c r="Q316" t="str">
        <f>Plant_Information!$B$6</f>
        <v>(INSERT VENDOR NAME HERE)</v>
      </c>
      <c r="R316" t="str">
        <f>'HAULING RATES- ODOT Locations'!$A$124</f>
        <v>District 7</v>
      </c>
      <c r="S316" t="str">
        <f>'HAULING RATES- ODOT Locations'!A130</f>
        <v>Champaign</v>
      </c>
      <c r="T316" t="str">
        <f>'HAULING RATES- ODOT Locations'!B130</f>
        <v>217 S. Edgewood Ave., Urbana, OH 43078</v>
      </c>
      <c r="U316" t="str">
        <f>'HAULING RATES- ODOT Locations'!D$8</f>
        <v>Slag</v>
      </c>
      <c r="V316" s="146">
        <f>'HAULING RATES- ODOT Locations'!D130</f>
        <v>0</v>
      </c>
      <c r="W316" s="131" t="str">
        <f>+'Aggregate, Plant Pick-up'!$C$6</f>
        <v>LAFARGE-MARBLEHEAD "OSBORNE-CLEVELAND"</v>
      </c>
      <c r="X316" s="131" t="str">
        <f>+Plant_Information!$B$10</f>
        <v>04105-28</v>
      </c>
      <c r="Y316" s="131" t="str">
        <f>+Plant_Information!$B$11</f>
        <v>2100 CENTRAL FURNACE ROAD</v>
      </c>
      <c r="Z316" s="131" t="str">
        <f>+Plant_Information!$B$12</f>
        <v>CLEVELAND, OH, 44115</v>
      </c>
      <c r="AA316" s="131" t="str">
        <f>+Plant_Information!$B$13</f>
        <v>12</v>
      </c>
      <c r="AB316" s="131" t="str">
        <f>+Plant_Information!$B$14</f>
        <v>CUY</v>
      </c>
      <c r="AC316" s="70"/>
    </row>
    <row r="317" spans="17:29" x14ac:dyDescent="0.2">
      <c r="Q317" t="str">
        <f>Plant_Information!$B$6</f>
        <v>(INSERT VENDOR NAME HERE)</v>
      </c>
      <c r="R317" t="str">
        <f>'HAULING RATES- ODOT Locations'!$A$124</f>
        <v>District 7</v>
      </c>
      <c r="S317" t="str">
        <f>'HAULING RATES- ODOT Locations'!A131</f>
        <v>Champaign</v>
      </c>
      <c r="T317" t="str">
        <f>'HAULING RATES- ODOT Locations'!B131</f>
        <v>Mechanicsburg OP,1544 State Route 559, Woodstock, OH 43084</v>
      </c>
      <c r="U317" t="str">
        <f>'HAULING RATES- ODOT Locations'!D$8</f>
        <v>Slag</v>
      </c>
      <c r="V317" s="146">
        <f>'HAULING RATES- ODOT Locations'!D131</f>
        <v>0</v>
      </c>
      <c r="W317" s="131" t="str">
        <f>+'Aggregate, Plant Pick-up'!$C$6</f>
        <v>LAFARGE-MARBLEHEAD "OSBORNE-CLEVELAND"</v>
      </c>
      <c r="X317" s="131" t="str">
        <f>+Plant_Information!$B$10</f>
        <v>04105-28</v>
      </c>
      <c r="Y317" s="131" t="str">
        <f>+Plant_Information!$B$11</f>
        <v>2100 CENTRAL FURNACE ROAD</v>
      </c>
      <c r="Z317" s="131" t="str">
        <f>+Plant_Information!$B$12</f>
        <v>CLEVELAND, OH, 44115</v>
      </c>
      <c r="AA317" s="131" t="str">
        <f>+Plant_Information!$B$13</f>
        <v>12</v>
      </c>
      <c r="AB317" s="131" t="str">
        <f>+Plant_Information!$B$14</f>
        <v>CUY</v>
      </c>
      <c r="AC317" s="70"/>
    </row>
    <row r="318" spans="17:29" x14ac:dyDescent="0.2">
      <c r="Q318" t="str">
        <f>Plant_Information!$B$6</f>
        <v>(INSERT VENDOR NAME HERE)</v>
      </c>
      <c r="R318" t="str">
        <f>'HAULING RATES- ODOT Locations'!$A$124</f>
        <v>District 7</v>
      </c>
      <c r="S318" t="str">
        <f>'HAULING RATES- ODOT Locations'!A132</f>
        <v>Clark</v>
      </c>
      <c r="T318" t="str">
        <f>'HAULING RATES- ODOT Locations'!B132</f>
        <v>2310 Enon Road, Enon, OH 45323</v>
      </c>
      <c r="U318" t="str">
        <f>'HAULING RATES- ODOT Locations'!D$8</f>
        <v>Slag</v>
      </c>
      <c r="V318" s="146">
        <f>'HAULING RATES- ODOT Locations'!D132</f>
        <v>0</v>
      </c>
      <c r="W318" s="131" t="str">
        <f>+'Aggregate, Plant Pick-up'!$C$6</f>
        <v>LAFARGE-MARBLEHEAD "OSBORNE-CLEVELAND"</v>
      </c>
      <c r="X318" s="131" t="str">
        <f>+Plant_Information!$B$10</f>
        <v>04105-28</v>
      </c>
      <c r="Y318" s="131" t="str">
        <f>+Plant_Information!$B$11</f>
        <v>2100 CENTRAL FURNACE ROAD</v>
      </c>
      <c r="Z318" s="131" t="str">
        <f>+Plant_Information!$B$12</f>
        <v>CLEVELAND, OH, 44115</v>
      </c>
      <c r="AA318" s="131" t="str">
        <f>+Plant_Information!$B$13</f>
        <v>12</v>
      </c>
      <c r="AB318" s="131" t="str">
        <f>+Plant_Information!$B$14</f>
        <v>CUY</v>
      </c>
      <c r="AC318" s="70"/>
    </row>
    <row r="319" spans="17:29" x14ac:dyDescent="0.2">
      <c r="Q319" t="str">
        <f>Plant_Information!$B$6</f>
        <v>(INSERT VENDOR NAME HERE)</v>
      </c>
      <c r="R319" t="str">
        <f>'HAULING RATES- ODOT Locations'!$A$124</f>
        <v>District 7</v>
      </c>
      <c r="S319" t="str">
        <f>'HAULING RATES- ODOT Locations'!A133</f>
        <v>Clark</v>
      </c>
      <c r="T319" t="str">
        <f>'HAULING RATES- ODOT Locations'!B133</f>
        <v>7875 E. National Rd. South Charleston, OH 45368</v>
      </c>
      <c r="U319" t="str">
        <f>'HAULING RATES- ODOT Locations'!D$8</f>
        <v>Slag</v>
      </c>
      <c r="V319" s="146">
        <f>'HAULING RATES- ODOT Locations'!D133</f>
        <v>0</v>
      </c>
      <c r="W319" s="131" t="str">
        <f>+'Aggregate, Plant Pick-up'!$C$6</f>
        <v>LAFARGE-MARBLEHEAD "OSBORNE-CLEVELAND"</v>
      </c>
      <c r="X319" s="131" t="str">
        <f>+Plant_Information!$B$10</f>
        <v>04105-28</v>
      </c>
      <c r="Y319" s="131" t="str">
        <f>+Plant_Information!$B$11</f>
        <v>2100 CENTRAL FURNACE ROAD</v>
      </c>
      <c r="Z319" s="131" t="str">
        <f>+Plant_Information!$B$12</f>
        <v>CLEVELAND, OH, 44115</v>
      </c>
      <c r="AA319" s="131" t="str">
        <f>+Plant_Information!$B$13</f>
        <v>12</v>
      </c>
      <c r="AB319" s="131" t="str">
        <f>+Plant_Information!$B$14</f>
        <v>CUY</v>
      </c>
      <c r="AC319" s="70"/>
    </row>
    <row r="320" spans="17:29" x14ac:dyDescent="0.2">
      <c r="Q320" t="str">
        <f>Plant_Information!$B$6</f>
        <v>(INSERT VENDOR NAME HERE)</v>
      </c>
      <c r="R320" t="str">
        <f>'HAULING RATES- ODOT Locations'!$A$124</f>
        <v>District 7</v>
      </c>
      <c r="S320" t="str">
        <f>'HAULING RATES- ODOT Locations'!A134</f>
        <v>Clark</v>
      </c>
      <c r="T320" t="str">
        <f>'HAULING RATES- ODOT Locations'!B134</f>
        <v>1630 W. First Street, Springfield, OH 45504</v>
      </c>
      <c r="U320" t="str">
        <f>'HAULING RATES- ODOT Locations'!D$8</f>
        <v>Slag</v>
      </c>
      <c r="V320" s="146">
        <f>'HAULING RATES- ODOT Locations'!D134</f>
        <v>0</v>
      </c>
      <c r="W320" s="131" t="str">
        <f>+'Aggregate, Plant Pick-up'!$C$6</f>
        <v>LAFARGE-MARBLEHEAD "OSBORNE-CLEVELAND"</v>
      </c>
      <c r="X320" s="131" t="str">
        <f>+Plant_Information!$B$10</f>
        <v>04105-28</v>
      </c>
      <c r="Y320" s="131" t="str">
        <f>+Plant_Information!$B$11</f>
        <v>2100 CENTRAL FURNACE ROAD</v>
      </c>
      <c r="Z320" s="131" t="str">
        <f>+Plant_Information!$B$12</f>
        <v>CLEVELAND, OH, 44115</v>
      </c>
      <c r="AA320" s="131" t="str">
        <f>+Plant_Information!$B$13</f>
        <v>12</v>
      </c>
      <c r="AB320" s="131" t="str">
        <f>+Plant_Information!$B$14</f>
        <v>CUY</v>
      </c>
      <c r="AC320" s="70"/>
    </row>
    <row r="321" spans="17:29" x14ac:dyDescent="0.2">
      <c r="Q321" t="str">
        <f>Plant_Information!$B$6</f>
        <v>(INSERT VENDOR NAME HERE)</v>
      </c>
      <c r="R321" t="str">
        <f>'HAULING RATES- ODOT Locations'!$A$124</f>
        <v>District 7</v>
      </c>
      <c r="S321" t="str">
        <f>'HAULING RATES- ODOT Locations'!A135</f>
        <v>Darke</v>
      </c>
      <c r="T321" t="str">
        <f>'HAULING RATES- ODOT Locations'!B135</f>
        <v>5230 Industrial Way, Greenville, OH 45331</v>
      </c>
      <c r="U321" t="str">
        <f>'HAULING RATES- ODOT Locations'!D$8</f>
        <v>Slag</v>
      </c>
      <c r="V321" s="146">
        <f>'HAULING RATES- ODOT Locations'!D135</f>
        <v>0</v>
      </c>
      <c r="W321" s="131" t="str">
        <f>+'Aggregate, Plant Pick-up'!$C$6</f>
        <v>LAFARGE-MARBLEHEAD "OSBORNE-CLEVELAND"</v>
      </c>
      <c r="X321" s="131" t="str">
        <f>+Plant_Information!$B$10</f>
        <v>04105-28</v>
      </c>
      <c r="Y321" s="131" t="str">
        <f>+Plant_Information!$B$11</f>
        <v>2100 CENTRAL FURNACE ROAD</v>
      </c>
      <c r="Z321" s="131" t="str">
        <f>+Plant_Information!$B$12</f>
        <v>CLEVELAND, OH, 44115</v>
      </c>
      <c r="AA321" s="131" t="str">
        <f>+Plant_Information!$B$13</f>
        <v>12</v>
      </c>
      <c r="AB321" s="131" t="str">
        <f>+Plant_Information!$B$14</f>
        <v>CUY</v>
      </c>
      <c r="AC321" s="70"/>
    </row>
    <row r="322" spans="17:29" x14ac:dyDescent="0.2">
      <c r="Q322" t="str">
        <f>Plant_Information!$B$6</f>
        <v>(INSERT VENDOR NAME HERE)</v>
      </c>
      <c r="R322" t="str">
        <f>'HAULING RATES- ODOT Locations'!$A$124</f>
        <v>District 7</v>
      </c>
      <c r="S322" t="str">
        <f>'HAULING RATES- ODOT Locations'!A136</f>
        <v>Darke</v>
      </c>
      <c r="T322" t="str">
        <f>'HAULING RATES- ODOT Locations'!B136</f>
        <v>10382 Greenville - St Marys, Versailles, OH 45380</v>
      </c>
      <c r="U322" t="str">
        <f>'HAULING RATES- ODOT Locations'!D$8</f>
        <v>Slag</v>
      </c>
      <c r="V322" s="146">
        <f>'HAULING RATES- ODOT Locations'!D136</f>
        <v>0</v>
      </c>
      <c r="W322" s="131" t="str">
        <f>+'Aggregate, Plant Pick-up'!$C$6</f>
        <v>LAFARGE-MARBLEHEAD "OSBORNE-CLEVELAND"</v>
      </c>
      <c r="X322" s="131" t="str">
        <f>+Plant_Information!$B$10</f>
        <v>04105-28</v>
      </c>
      <c r="Y322" s="131" t="str">
        <f>+Plant_Information!$B$11</f>
        <v>2100 CENTRAL FURNACE ROAD</v>
      </c>
      <c r="Z322" s="131" t="str">
        <f>+Plant_Information!$B$12</f>
        <v>CLEVELAND, OH, 44115</v>
      </c>
      <c r="AA322" s="131" t="str">
        <f>+Plant_Information!$B$13</f>
        <v>12</v>
      </c>
      <c r="AB322" s="131" t="str">
        <f>+Plant_Information!$B$14</f>
        <v>CUY</v>
      </c>
      <c r="AC322" s="70"/>
    </row>
    <row r="323" spans="17:29" x14ac:dyDescent="0.2">
      <c r="Q323" t="str">
        <f>Plant_Information!$B$6</f>
        <v>(INSERT VENDOR NAME HERE)</v>
      </c>
      <c r="R323" t="str">
        <f>'HAULING RATES- ODOT Locations'!$A$124</f>
        <v>District 7</v>
      </c>
      <c r="S323" t="str">
        <f>'HAULING RATES- ODOT Locations'!A137</f>
        <v>Logan</v>
      </c>
      <c r="T323" t="str">
        <f>'HAULING RATES- ODOT Locations'!B137</f>
        <v>9254 State Route 235 North, Lakeview, OH 43331</v>
      </c>
      <c r="U323" t="str">
        <f>'HAULING RATES- ODOT Locations'!D$8</f>
        <v>Slag</v>
      </c>
      <c r="V323" s="146">
        <f>'HAULING RATES- ODOT Locations'!D137</f>
        <v>0</v>
      </c>
      <c r="W323" s="131" t="str">
        <f>+'Aggregate, Plant Pick-up'!$C$6</f>
        <v>LAFARGE-MARBLEHEAD "OSBORNE-CLEVELAND"</v>
      </c>
      <c r="X323" s="131" t="str">
        <f>+Plant_Information!$B$10</f>
        <v>04105-28</v>
      </c>
      <c r="Y323" s="131" t="str">
        <f>+Plant_Information!$B$11</f>
        <v>2100 CENTRAL FURNACE ROAD</v>
      </c>
      <c r="Z323" s="131" t="str">
        <f>+Plant_Information!$B$12</f>
        <v>CLEVELAND, OH, 44115</v>
      </c>
      <c r="AA323" s="131" t="str">
        <f>+Plant_Information!$B$13</f>
        <v>12</v>
      </c>
      <c r="AB323" s="131" t="str">
        <f>+Plant_Information!$B$14</f>
        <v>CUY</v>
      </c>
      <c r="AC323" s="70"/>
    </row>
    <row r="324" spans="17:29" x14ac:dyDescent="0.2">
      <c r="Q324" t="str">
        <f>Plant_Information!$B$6</f>
        <v>(INSERT VENDOR NAME HERE)</v>
      </c>
      <c r="R324" t="str">
        <f>'HAULING RATES- ODOT Locations'!$A$124</f>
        <v>District 7</v>
      </c>
      <c r="S324" t="str">
        <f>'HAULING RATES- ODOT Locations'!A138</f>
        <v>Logan</v>
      </c>
      <c r="T324" t="str">
        <f>'HAULING RATES- ODOT Locations'!B138</f>
        <v>E. Liberty OP, 4315 State Route 292, Zanesfield, OH 43319</v>
      </c>
      <c r="U324" t="str">
        <f>'HAULING RATES- ODOT Locations'!D$8</f>
        <v>Slag</v>
      </c>
      <c r="V324" s="146">
        <f>'HAULING RATES- ODOT Locations'!D138</f>
        <v>0</v>
      </c>
      <c r="W324" s="131" t="str">
        <f>+'Aggregate, Plant Pick-up'!$C$6</f>
        <v>LAFARGE-MARBLEHEAD "OSBORNE-CLEVELAND"</v>
      </c>
      <c r="X324" s="131" t="str">
        <f>+Plant_Information!$B$10</f>
        <v>04105-28</v>
      </c>
      <c r="Y324" s="131" t="str">
        <f>+Plant_Information!$B$11</f>
        <v>2100 CENTRAL FURNACE ROAD</v>
      </c>
      <c r="Z324" s="131" t="str">
        <f>+Plant_Information!$B$12</f>
        <v>CLEVELAND, OH, 44115</v>
      </c>
      <c r="AA324" s="131" t="str">
        <f>+Plant_Information!$B$13</f>
        <v>12</v>
      </c>
      <c r="AB324" s="131" t="str">
        <f>+Plant_Information!$B$14</f>
        <v>CUY</v>
      </c>
      <c r="AC324" s="70"/>
    </row>
    <row r="325" spans="17:29" x14ac:dyDescent="0.2">
      <c r="Q325" t="str">
        <f>Plant_Information!$B$6</f>
        <v>(INSERT VENDOR NAME HERE)</v>
      </c>
      <c r="R325" t="str">
        <f>'HAULING RATES- ODOT Locations'!$A$124</f>
        <v>District 7</v>
      </c>
      <c r="S325" t="str">
        <f>'HAULING RATES- ODOT Locations'!A139</f>
        <v>Logan</v>
      </c>
      <c r="T325" t="str">
        <f>'HAULING RATES- ODOT Locations'!B139</f>
        <v>149 Northview Drive, Bellefontaine, OH 43311</v>
      </c>
      <c r="U325" t="str">
        <f>'HAULING RATES- ODOT Locations'!D$8</f>
        <v>Slag</v>
      </c>
      <c r="V325" s="146">
        <f>'HAULING RATES- ODOT Locations'!D139</f>
        <v>0</v>
      </c>
      <c r="W325" s="131" t="str">
        <f>+'Aggregate, Plant Pick-up'!$C$6</f>
        <v>LAFARGE-MARBLEHEAD "OSBORNE-CLEVELAND"</v>
      </c>
      <c r="X325" s="131" t="str">
        <f>+Plant_Information!$B$10</f>
        <v>04105-28</v>
      </c>
      <c r="Y325" s="131" t="str">
        <f>+Plant_Information!$B$11</f>
        <v>2100 CENTRAL FURNACE ROAD</v>
      </c>
      <c r="Z325" s="131" t="str">
        <f>+Plant_Information!$B$12</f>
        <v>CLEVELAND, OH, 44115</v>
      </c>
      <c r="AA325" s="131" t="str">
        <f>+Plant_Information!$B$13</f>
        <v>12</v>
      </c>
      <c r="AB325" s="131" t="str">
        <f>+Plant_Information!$B$14</f>
        <v>CUY</v>
      </c>
      <c r="AC325" s="70"/>
    </row>
    <row r="326" spans="17:29" x14ac:dyDescent="0.2">
      <c r="Q326" t="str">
        <f>Plant_Information!$B$6</f>
        <v>(INSERT VENDOR NAME HERE)</v>
      </c>
      <c r="R326" t="str">
        <f>'HAULING RATES- ODOT Locations'!$A$124</f>
        <v>District 7</v>
      </c>
      <c r="S326" t="str">
        <f>'HAULING RATES- ODOT Locations'!A140</f>
        <v>Mercer</v>
      </c>
      <c r="T326" t="str">
        <f>'HAULING RATES- ODOT Locations'!B140</f>
        <v>4444 State Route 29 West, Celina, OH 45822</v>
      </c>
      <c r="U326" t="str">
        <f>'HAULING RATES- ODOT Locations'!D$8</f>
        <v>Slag</v>
      </c>
      <c r="V326" s="146">
        <f>'HAULING RATES- ODOT Locations'!D140</f>
        <v>0</v>
      </c>
      <c r="W326" s="131" t="str">
        <f>+'Aggregate, Plant Pick-up'!$C$6</f>
        <v>LAFARGE-MARBLEHEAD "OSBORNE-CLEVELAND"</v>
      </c>
      <c r="X326" s="131" t="str">
        <f>+Plant_Information!$B$10</f>
        <v>04105-28</v>
      </c>
      <c r="Y326" s="131" t="str">
        <f>+Plant_Information!$B$11</f>
        <v>2100 CENTRAL FURNACE ROAD</v>
      </c>
      <c r="Z326" s="131" t="str">
        <f>+Plant_Information!$B$12</f>
        <v>CLEVELAND, OH, 44115</v>
      </c>
      <c r="AA326" s="131" t="str">
        <f>+Plant_Information!$B$13</f>
        <v>12</v>
      </c>
      <c r="AB326" s="131" t="str">
        <f>+Plant_Information!$B$14</f>
        <v>CUY</v>
      </c>
      <c r="AC326" s="70"/>
    </row>
    <row r="327" spans="17:29" x14ac:dyDescent="0.2">
      <c r="Q327" t="str">
        <f>Plant_Information!$B$6</f>
        <v>(INSERT VENDOR NAME HERE)</v>
      </c>
      <c r="R327" t="str">
        <f>'HAULING RATES- ODOT Locations'!$A$124</f>
        <v>District 7</v>
      </c>
      <c r="S327" t="str">
        <f>'HAULING RATES- ODOT Locations'!A141</f>
        <v>Mercer</v>
      </c>
      <c r="T327" t="str">
        <f>'HAULING RATES- ODOT Locations'!B141</f>
        <v>Mercer OP, 5729 Mercer Road, Mendon, OH 45862</v>
      </c>
      <c r="U327" t="str">
        <f>'HAULING RATES- ODOT Locations'!D$8</f>
        <v>Slag</v>
      </c>
      <c r="V327" s="146">
        <f>'HAULING RATES- ODOT Locations'!D141</f>
        <v>0</v>
      </c>
      <c r="W327" s="131" t="str">
        <f>+'Aggregate, Plant Pick-up'!$C$6</f>
        <v>LAFARGE-MARBLEHEAD "OSBORNE-CLEVELAND"</v>
      </c>
      <c r="X327" s="131" t="str">
        <f>+Plant_Information!$B$10</f>
        <v>04105-28</v>
      </c>
      <c r="Y327" s="131" t="str">
        <f>+Plant_Information!$B$11</f>
        <v>2100 CENTRAL FURNACE ROAD</v>
      </c>
      <c r="Z327" s="131" t="str">
        <f>+Plant_Information!$B$12</f>
        <v>CLEVELAND, OH, 44115</v>
      </c>
      <c r="AA327" s="131" t="str">
        <f>+Plant_Information!$B$13</f>
        <v>12</v>
      </c>
      <c r="AB327" s="131" t="str">
        <f>+Plant_Information!$B$14</f>
        <v>CUY</v>
      </c>
      <c r="AC327" s="70"/>
    </row>
    <row r="328" spans="17:29" x14ac:dyDescent="0.2">
      <c r="Q328" t="str">
        <f>Plant_Information!$B$6</f>
        <v>(INSERT VENDOR NAME HERE)</v>
      </c>
      <c r="R328" t="str">
        <f>'HAULING RATES- ODOT Locations'!$A$124</f>
        <v>District 7</v>
      </c>
      <c r="S328" t="str">
        <f>'HAULING RATES- ODOT Locations'!A142</f>
        <v>Mercer</v>
      </c>
      <c r="T328" t="str">
        <f>'HAULING RATES- ODOT Locations'!B142</f>
        <v>Cassella OP, 5882 State Route 119, St. Henry, OH 45883</v>
      </c>
      <c r="U328" t="str">
        <f>'HAULING RATES- ODOT Locations'!D$8</f>
        <v>Slag</v>
      </c>
      <c r="V328" s="146">
        <f>'HAULING RATES- ODOT Locations'!D142</f>
        <v>0</v>
      </c>
      <c r="W328" s="131" t="str">
        <f>+'Aggregate, Plant Pick-up'!$C$6</f>
        <v>LAFARGE-MARBLEHEAD "OSBORNE-CLEVELAND"</v>
      </c>
      <c r="X328" s="131" t="str">
        <f>+Plant_Information!$B$10</f>
        <v>04105-28</v>
      </c>
      <c r="Y328" s="131" t="str">
        <f>+Plant_Information!$B$11</f>
        <v>2100 CENTRAL FURNACE ROAD</v>
      </c>
      <c r="Z328" s="131" t="str">
        <f>+Plant_Information!$B$12</f>
        <v>CLEVELAND, OH, 44115</v>
      </c>
      <c r="AA328" s="131" t="str">
        <f>+Plant_Information!$B$13</f>
        <v>12</v>
      </c>
      <c r="AB328" s="131" t="str">
        <f>+Plant_Information!$B$14</f>
        <v>CUY</v>
      </c>
      <c r="AC328" s="70"/>
    </row>
    <row r="329" spans="17:29" x14ac:dyDescent="0.2">
      <c r="Q329" t="str">
        <f>Plant_Information!$B$6</f>
        <v>(INSERT VENDOR NAME HERE)</v>
      </c>
      <c r="R329" t="str">
        <f>'HAULING RATES- ODOT Locations'!$A$124</f>
        <v>District 7</v>
      </c>
      <c r="S329" t="str">
        <f>'HAULING RATES- ODOT Locations'!A143</f>
        <v>Miami</v>
      </c>
      <c r="T329" t="str">
        <f>'HAULING RATES- ODOT Locations'!B143</f>
        <v>2423 W. State Route 55, Troy, OH 45373</v>
      </c>
      <c r="U329" t="str">
        <f>'HAULING RATES- ODOT Locations'!D$8</f>
        <v>Slag</v>
      </c>
      <c r="V329" s="146">
        <f>'HAULING RATES- ODOT Locations'!D143</f>
        <v>0</v>
      </c>
      <c r="W329" s="131" t="str">
        <f>+'Aggregate, Plant Pick-up'!$C$6</f>
        <v>LAFARGE-MARBLEHEAD "OSBORNE-CLEVELAND"</v>
      </c>
      <c r="X329" s="131" t="str">
        <f>+Plant_Information!$B$10</f>
        <v>04105-28</v>
      </c>
      <c r="Y329" s="131" t="str">
        <f>+Plant_Information!$B$11</f>
        <v>2100 CENTRAL FURNACE ROAD</v>
      </c>
      <c r="Z329" s="131" t="str">
        <f>+Plant_Information!$B$12</f>
        <v>CLEVELAND, OH, 44115</v>
      </c>
      <c r="AA329" s="131" t="str">
        <f>+Plant_Information!$B$13</f>
        <v>12</v>
      </c>
      <c r="AB329" s="131" t="str">
        <f>+Plant_Information!$B$14</f>
        <v>CUY</v>
      </c>
      <c r="AC329" s="70"/>
    </row>
    <row r="330" spans="17:29" x14ac:dyDescent="0.2">
      <c r="Q330" t="str">
        <f>Plant_Information!$B$6</f>
        <v>(INSERT VENDOR NAME HERE)</v>
      </c>
      <c r="R330" t="str">
        <f>'HAULING RATES- ODOT Locations'!$A$124</f>
        <v>District 7</v>
      </c>
      <c r="S330" t="str">
        <f>'HAULING RATES- ODOT Locations'!A144</f>
        <v>Miami</v>
      </c>
      <c r="T330" t="str">
        <f>'HAULING RATES- ODOT Locations'!B144</f>
        <v>9015 Looney Road, Piqua, OH 45356</v>
      </c>
      <c r="U330" t="str">
        <f>'HAULING RATES- ODOT Locations'!D$8</f>
        <v>Slag</v>
      </c>
      <c r="V330" s="146">
        <f>'HAULING RATES- ODOT Locations'!D144</f>
        <v>0</v>
      </c>
      <c r="W330" s="131" t="str">
        <f>+'Aggregate, Plant Pick-up'!$C$6</f>
        <v>LAFARGE-MARBLEHEAD "OSBORNE-CLEVELAND"</v>
      </c>
      <c r="X330" s="131" t="str">
        <f>+Plant_Information!$B$10</f>
        <v>04105-28</v>
      </c>
      <c r="Y330" s="131" t="str">
        <f>+Plant_Information!$B$11</f>
        <v>2100 CENTRAL FURNACE ROAD</v>
      </c>
      <c r="Z330" s="131" t="str">
        <f>+Plant_Information!$B$12</f>
        <v>CLEVELAND, OH, 44115</v>
      </c>
      <c r="AA330" s="131" t="str">
        <f>+Plant_Information!$B$13</f>
        <v>12</v>
      </c>
      <c r="AB330" s="131" t="str">
        <f>+Plant_Information!$B$14</f>
        <v>CUY</v>
      </c>
      <c r="AC330" s="70"/>
    </row>
    <row r="331" spans="17:29" x14ac:dyDescent="0.2">
      <c r="Q331" t="str">
        <f>Plant_Information!$B$6</f>
        <v>(INSERT VENDOR NAME HERE)</v>
      </c>
      <c r="R331" t="str">
        <f>'HAULING RATES- ODOT Locations'!$A$124</f>
        <v>District 7</v>
      </c>
      <c r="S331" t="str">
        <f>'HAULING RATES- ODOT Locations'!A145</f>
        <v>Montgomery</v>
      </c>
      <c r="T331" t="str">
        <f>'HAULING RATES- ODOT Locations'!B145</f>
        <v>300 Smith Drive, Clayton, OH 45315</v>
      </c>
      <c r="U331" t="str">
        <f>'HAULING RATES- ODOT Locations'!D$8</f>
        <v>Slag</v>
      </c>
      <c r="V331" s="146">
        <f>'HAULING RATES- ODOT Locations'!D145</f>
        <v>0</v>
      </c>
      <c r="W331" s="131" t="str">
        <f>+'Aggregate, Plant Pick-up'!$C$6</f>
        <v>LAFARGE-MARBLEHEAD "OSBORNE-CLEVELAND"</v>
      </c>
      <c r="X331" s="131" t="str">
        <f>+Plant_Information!$B$10</f>
        <v>04105-28</v>
      </c>
      <c r="Y331" s="131" t="str">
        <f>+Plant_Information!$B$11</f>
        <v>2100 CENTRAL FURNACE ROAD</v>
      </c>
      <c r="Z331" s="131" t="str">
        <f>+Plant_Information!$B$12</f>
        <v>CLEVELAND, OH, 44115</v>
      </c>
      <c r="AA331" s="131" t="str">
        <f>+Plant_Information!$B$13</f>
        <v>12</v>
      </c>
      <c r="AB331" s="131" t="str">
        <f>+Plant_Information!$B$14</f>
        <v>CUY</v>
      </c>
      <c r="AC331" s="70"/>
    </row>
    <row r="332" spans="17:29" x14ac:dyDescent="0.2">
      <c r="Q332" t="str">
        <f>Plant_Information!$B$6</f>
        <v>(INSERT VENDOR NAME HERE)</v>
      </c>
      <c r="R332" t="str">
        <f>'HAULING RATES- ODOT Locations'!$A$124</f>
        <v>District 7</v>
      </c>
      <c r="S332" t="str">
        <f>'HAULING RATES- ODOT Locations'!A146</f>
        <v>Montgomery</v>
      </c>
      <c r="T332" t="str">
        <f>'HAULING RATES- ODOT Locations'!B146</f>
        <v>3500 Dryden Road, Moraine, OH 45439</v>
      </c>
      <c r="U332" t="str">
        <f>'HAULING RATES- ODOT Locations'!D$8</f>
        <v>Slag</v>
      </c>
      <c r="V332" s="146">
        <f>'HAULING RATES- ODOT Locations'!D146</f>
        <v>0</v>
      </c>
      <c r="W332" s="131" t="str">
        <f>+'Aggregate, Plant Pick-up'!$C$6</f>
        <v>LAFARGE-MARBLEHEAD "OSBORNE-CLEVELAND"</v>
      </c>
      <c r="X332" s="131" t="str">
        <f>+Plant_Information!$B$10</f>
        <v>04105-28</v>
      </c>
      <c r="Y332" s="131" t="str">
        <f>+Plant_Information!$B$11</f>
        <v>2100 CENTRAL FURNACE ROAD</v>
      </c>
      <c r="Z332" s="131" t="str">
        <f>+Plant_Information!$B$12</f>
        <v>CLEVELAND, OH, 44115</v>
      </c>
      <c r="AA332" s="131" t="str">
        <f>+Plant_Information!$B$13</f>
        <v>12</v>
      </c>
      <c r="AB332" s="131" t="str">
        <f>+Plant_Information!$B$14</f>
        <v>CUY</v>
      </c>
      <c r="AC332" s="70"/>
    </row>
    <row r="333" spans="17:29" x14ac:dyDescent="0.2">
      <c r="Q333" t="str">
        <f>Plant_Information!$B$6</f>
        <v>(INSERT VENDOR NAME HERE)</v>
      </c>
      <c r="R333" t="str">
        <f>'HAULING RATES- ODOT Locations'!$A$124</f>
        <v>District 7</v>
      </c>
      <c r="S333" t="str">
        <f>'HAULING RATES- ODOT Locations'!A147</f>
        <v>Montgomery</v>
      </c>
      <c r="T333" t="str">
        <f>'HAULING RATES- ODOT Locations'!B147</f>
        <v>7130 Shull Road, Huber Heights, OH 45424</v>
      </c>
      <c r="U333" t="str">
        <f>'HAULING RATES- ODOT Locations'!D$8</f>
        <v>Slag</v>
      </c>
      <c r="V333" s="146">
        <f>'HAULING RATES- ODOT Locations'!D147</f>
        <v>0</v>
      </c>
      <c r="W333" s="131" t="str">
        <f>+'Aggregate, Plant Pick-up'!$C$6</f>
        <v>LAFARGE-MARBLEHEAD "OSBORNE-CLEVELAND"</v>
      </c>
      <c r="X333" s="131" t="str">
        <f>+Plant_Information!$B$10</f>
        <v>04105-28</v>
      </c>
      <c r="Y333" s="131" t="str">
        <f>+Plant_Information!$B$11</f>
        <v>2100 CENTRAL FURNACE ROAD</v>
      </c>
      <c r="Z333" s="131" t="str">
        <f>+Plant_Information!$B$12</f>
        <v>CLEVELAND, OH, 44115</v>
      </c>
      <c r="AA333" s="131" t="str">
        <f>+Plant_Information!$B$13</f>
        <v>12</v>
      </c>
      <c r="AB333" s="131" t="str">
        <f>+Plant_Information!$B$14</f>
        <v>CUY</v>
      </c>
      <c r="AC333" s="70"/>
    </row>
    <row r="334" spans="17:29" x14ac:dyDescent="0.2">
      <c r="Q334" t="str">
        <f>Plant_Information!$B$6</f>
        <v>(INSERT VENDOR NAME HERE)</v>
      </c>
      <c r="R334" t="str">
        <f>'HAULING RATES- ODOT Locations'!$A$124</f>
        <v>District 7</v>
      </c>
      <c r="S334" t="str">
        <f>'HAULING RATES- ODOT Locations'!A148</f>
        <v>Shelby</v>
      </c>
      <c r="T334" t="str">
        <f>'HAULING RATES- ODOT Locations'!B148</f>
        <v>2190 Saint Marys Avenue, Sidney, OH 45365</v>
      </c>
      <c r="U334" t="str">
        <f>'HAULING RATES- ODOT Locations'!D$8</f>
        <v>Slag</v>
      </c>
      <c r="V334" s="146">
        <f>'HAULING RATES- ODOT Locations'!D148</f>
        <v>0</v>
      </c>
      <c r="W334" s="131" t="str">
        <f>+'Aggregate, Plant Pick-up'!$C$6</f>
        <v>LAFARGE-MARBLEHEAD "OSBORNE-CLEVELAND"</v>
      </c>
      <c r="X334" s="131" t="str">
        <f>+Plant_Information!$B$10</f>
        <v>04105-28</v>
      </c>
      <c r="Y334" s="131" t="str">
        <f>+Plant_Information!$B$11</f>
        <v>2100 CENTRAL FURNACE ROAD</v>
      </c>
      <c r="Z334" s="131" t="str">
        <f>+Plant_Information!$B$12</f>
        <v>CLEVELAND, OH, 44115</v>
      </c>
      <c r="AA334" s="131" t="str">
        <f>+Plant_Information!$B$13</f>
        <v>12</v>
      </c>
      <c r="AB334" s="131" t="str">
        <f>+Plant_Information!$B$14</f>
        <v>CUY</v>
      </c>
      <c r="AC334" s="70"/>
    </row>
    <row r="335" spans="17:29" x14ac:dyDescent="0.2">
      <c r="Q335" s="138" t="str">
        <f>Plant_Information!$B$6</f>
        <v>(INSERT VENDOR NAME HERE)</v>
      </c>
      <c r="R335" s="138" t="str">
        <f>'HAULING RATES- ODOT Locations'!$A$124</f>
        <v>District 7</v>
      </c>
      <c r="S335" s="138" t="str">
        <f>'HAULING RATES- ODOT Locations'!A149</f>
        <v>Shelby</v>
      </c>
      <c r="T335" s="138" t="str">
        <f>'HAULING RATES- ODOT Locations'!B149</f>
        <v>15825 County Road 25A, Botkins, OH 45306</v>
      </c>
      <c r="U335" s="138" t="str">
        <f>'HAULING RATES- ODOT Locations'!D$8</f>
        <v>Slag</v>
      </c>
      <c r="V335" s="146">
        <f>'HAULING RATES- ODOT Locations'!D149</f>
        <v>0</v>
      </c>
      <c r="W335" s="141" t="str">
        <f>+'Aggregate, Plant Pick-up'!$C$6</f>
        <v>LAFARGE-MARBLEHEAD "OSBORNE-CLEVELAND"</v>
      </c>
      <c r="X335" s="141" t="str">
        <f>+Plant_Information!$B$10</f>
        <v>04105-28</v>
      </c>
      <c r="Y335" s="141" t="str">
        <f>+Plant_Information!$B$11</f>
        <v>2100 CENTRAL FURNACE ROAD</v>
      </c>
      <c r="Z335" s="141" t="str">
        <f>+Plant_Information!$B$12</f>
        <v>CLEVELAND, OH, 44115</v>
      </c>
      <c r="AA335" s="141" t="str">
        <f>+Plant_Information!$B$13</f>
        <v>12</v>
      </c>
      <c r="AB335" s="141" t="str">
        <f>+Plant_Information!$B$14</f>
        <v>CUY</v>
      </c>
      <c r="AC335" s="70"/>
    </row>
    <row r="336" spans="17:29" x14ac:dyDescent="0.2">
      <c r="Q336" t="str">
        <f>Plant_Information!$B$6</f>
        <v>(INSERT VENDOR NAME HERE)</v>
      </c>
      <c r="R336" t="str">
        <f>'HAULING RATES- ODOT Locations'!$A$124</f>
        <v>District 7</v>
      </c>
      <c r="S336" t="str">
        <f>'HAULING RATES- ODOT Locations'!A150</f>
        <v>Shelby</v>
      </c>
      <c r="T336" t="str">
        <f>'HAULING RATES- ODOT Locations'!B150</f>
        <v>Newport OP, 4339 W. State Route 47, Ft. Loramie, OH 45845</v>
      </c>
      <c r="U336" t="str">
        <f>'HAULING RATES- ODOT Locations'!D$8</f>
        <v>Slag</v>
      </c>
      <c r="V336" s="146">
        <f>'HAULING RATES- ODOT Locations'!D150</f>
        <v>0</v>
      </c>
      <c r="W336" s="131" t="str">
        <f>+'Aggregate, Plant Pick-up'!$C$6</f>
        <v>LAFARGE-MARBLEHEAD "OSBORNE-CLEVELAND"</v>
      </c>
      <c r="X336" s="131" t="str">
        <f>+Plant_Information!$B$10</f>
        <v>04105-28</v>
      </c>
      <c r="Y336" s="131" t="str">
        <f>+Plant_Information!$B$11</f>
        <v>2100 CENTRAL FURNACE ROAD</v>
      </c>
      <c r="Z336" s="131" t="str">
        <f>+Plant_Information!$B$12</f>
        <v>CLEVELAND, OH, 44115</v>
      </c>
      <c r="AA336" s="131" t="str">
        <f>+Plant_Information!$B$13</f>
        <v>12</v>
      </c>
      <c r="AB336" s="131" t="str">
        <f>+Plant_Information!$B$14</f>
        <v>CUY</v>
      </c>
      <c r="AC336" s="70"/>
    </row>
    <row r="337" spans="17:29" x14ac:dyDescent="0.2">
      <c r="Q337" t="str">
        <f>Plant_Information!$B$6</f>
        <v>(INSERT VENDOR NAME HERE)</v>
      </c>
      <c r="R337" t="str">
        <f>'HAULING RATES- ODOT Locations'!$A$151</f>
        <v>District 8</v>
      </c>
      <c r="S337" t="str">
        <f>'HAULING RATES- ODOT Locations'!A154</f>
        <v>Butler</v>
      </c>
      <c r="T337" t="str">
        <f>'HAULING RATES- ODOT Locations'!B154</f>
        <v>4560 Kyles Station, Hamilton, OH 45011</v>
      </c>
      <c r="U337" t="str">
        <f>'HAULING RATES- ODOT Locations'!D$8</f>
        <v>Slag</v>
      </c>
      <c r="V337" s="146">
        <f>'HAULING RATES- ODOT Locations'!D154</f>
        <v>0</v>
      </c>
      <c r="W337" s="131" t="str">
        <f>+'Aggregate, Plant Pick-up'!$C$6</f>
        <v>LAFARGE-MARBLEHEAD "OSBORNE-CLEVELAND"</v>
      </c>
      <c r="X337" s="131" t="str">
        <f>+Plant_Information!$B$10</f>
        <v>04105-28</v>
      </c>
      <c r="Y337" s="131" t="str">
        <f>+Plant_Information!$B$11</f>
        <v>2100 CENTRAL FURNACE ROAD</v>
      </c>
      <c r="Z337" s="131" t="str">
        <f>+Plant_Information!$B$12</f>
        <v>CLEVELAND, OH, 44115</v>
      </c>
      <c r="AA337" s="131" t="str">
        <f>+Plant_Information!$B$13</f>
        <v>12</v>
      </c>
      <c r="AB337" s="131" t="str">
        <f>+Plant_Information!$B$14</f>
        <v>CUY</v>
      </c>
      <c r="AC337" s="70"/>
    </row>
    <row r="338" spans="17:29" x14ac:dyDescent="0.2">
      <c r="Q338" t="str">
        <f>Plant_Information!$B$6</f>
        <v>(INSERT VENDOR NAME HERE)</v>
      </c>
      <c r="R338" t="str">
        <f>'HAULING RATES- ODOT Locations'!$A$151</f>
        <v>District 8</v>
      </c>
      <c r="S338" t="str">
        <f>'HAULING RATES- ODOT Locations'!A155</f>
        <v>Butler</v>
      </c>
      <c r="T338" t="str">
        <f>'HAULING RATES- ODOT Locations'!B155</f>
        <v>4011 Tytus Ave., Middletown, OH 45042</v>
      </c>
      <c r="U338" t="str">
        <f>'HAULING RATES- ODOT Locations'!D$8</f>
        <v>Slag</v>
      </c>
      <c r="V338" s="146">
        <f>'HAULING RATES- ODOT Locations'!D155</f>
        <v>0</v>
      </c>
      <c r="W338" s="131" t="str">
        <f>+'Aggregate, Plant Pick-up'!$C$6</f>
        <v>LAFARGE-MARBLEHEAD "OSBORNE-CLEVELAND"</v>
      </c>
      <c r="X338" s="131" t="str">
        <f>+Plant_Information!$B$10</f>
        <v>04105-28</v>
      </c>
      <c r="Y338" s="131" t="str">
        <f>+Plant_Information!$B$11</f>
        <v>2100 CENTRAL FURNACE ROAD</v>
      </c>
      <c r="Z338" s="131" t="str">
        <f>+Plant_Information!$B$12</f>
        <v>CLEVELAND, OH, 44115</v>
      </c>
      <c r="AA338" s="131" t="str">
        <f>+Plant_Information!$B$13</f>
        <v>12</v>
      </c>
      <c r="AB338" s="131" t="str">
        <f>+Plant_Information!$B$14</f>
        <v>CUY</v>
      </c>
      <c r="AC338" s="70"/>
    </row>
    <row r="339" spans="17:29" x14ac:dyDescent="0.2">
      <c r="Q339" t="str">
        <f>Plant_Information!$B$6</f>
        <v>(INSERT VENDOR NAME HERE)</v>
      </c>
      <c r="R339" t="str">
        <f>'HAULING RATES- ODOT Locations'!$A$151</f>
        <v>District 8</v>
      </c>
      <c r="S339" t="str">
        <f>'HAULING RATES- ODOT Locations'!A156</f>
        <v>Clermont</v>
      </c>
      <c r="T339" t="str">
        <f>'HAULING RATES- ODOT Locations'!B156</f>
        <v>Batavia Garage, 3600 SR 132, Amelia, OH 45102</v>
      </c>
      <c r="U339" t="str">
        <f>'HAULING RATES- ODOT Locations'!D$8</f>
        <v>Slag</v>
      </c>
      <c r="V339" s="146">
        <f>'HAULING RATES- ODOT Locations'!D156</f>
        <v>0</v>
      </c>
      <c r="W339" s="131" t="str">
        <f>+'Aggregate, Plant Pick-up'!$C$6</f>
        <v>LAFARGE-MARBLEHEAD "OSBORNE-CLEVELAND"</v>
      </c>
      <c r="X339" s="131" t="str">
        <f>+Plant_Information!$B$10</f>
        <v>04105-28</v>
      </c>
      <c r="Y339" s="131" t="str">
        <f>+Plant_Information!$B$11</f>
        <v>2100 CENTRAL FURNACE ROAD</v>
      </c>
      <c r="Z339" s="131" t="str">
        <f>+Plant_Information!$B$12</f>
        <v>CLEVELAND, OH, 44115</v>
      </c>
      <c r="AA339" s="131" t="str">
        <f>+Plant_Information!$B$13</f>
        <v>12</v>
      </c>
      <c r="AB339" s="131" t="str">
        <f>+Plant_Information!$B$14</f>
        <v>CUY</v>
      </c>
      <c r="AC339" s="70"/>
    </row>
    <row r="340" spans="17:29" x14ac:dyDescent="0.2">
      <c r="Q340" t="str">
        <f>Plant_Information!$B$6</f>
        <v>(INSERT VENDOR NAME HERE)</v>
      </c>
      <c r="R340" t="str">
        <f>'HAULING RATES- ODOT Locations'!$A$151</f>
        <v>District 8</v>
      </c>
      <c r="S340" t="str">
        <f>'HAULING RATES- ODOT Locations'!A157</f>
        <v>Clermont</v>
      </c>
      <c r="T340" t="str">
        <f>'HAULING RATES- ODOT Locations'!B157</f>
        <v>809 U. S. Route 50, Milford, OH 45150</v>
      </c>
      <c r="U340" t="str">
        <f>'HAULING RATES- ODOT Locations'!D$8</f>
        <v>Slag</v>
      </c>
      <c r="V340" s="146">
        <f>'HAULING RATES- ODOT Locations'!D157</f>
        <v>0</v>
      </c>
      <c r="W340" s="131" t="str">
        <f>+'Aggregate, Plant Pick-up'!$C$6</f>
        <v>LAFARGE-MARBLEHEAD "OSBORNE-CLEVELAND"</v>
      </c>
      <c r="X340" s="131" t="str">
        <f>+Plant_Information!$B$10</f>
        <v>04105-28</v>
      </c>
      <c r="Y340" s="131" t="str">
        <f>+Plant_Information!$B$11</f>
        <v>2100 CENTRAL FURNACE ROAD</v>
      </c>
      <c r="Z340" s="131" t="str">
        <f>+Plant_Information!$B$12</f>
        <v>CLEVELAND, OH, 44115</v>
      </c>
      <c r="AA340" s="131" t="str">
        <f>+Plant_Information!$B$13</f>
        <v>12</v>
      </c>
      <c r="AB340" s="131" t="str">
        <f>+Plant_Information!$B$14</f>
        <v>CUY</v>
      </c>
      <c r="AC340" s="70"/>
    </row>
    <row r="341" spans="17:29" x14ac:dyDescent="0.2">
      <c r="Q341" t="str">
        <f>Plant_Information!$B$6</f>
        <v>(INSERT VENDOR NAME HERE)</v>
      </c>
      <c r="R341" t="str">
        <f>'HAULING RATES- ODOT Locations'!$A$151</f>
        <v>District 8</v>
      </c>
      <c r="S341" t="str">
        <f>'HAULING RATES- ODOT Locations'!A158</f>
        <v>Clermont</v>
      </c>
      <c r="T341" t="str">
        <f>'HAULING RATES- ODOT Locations'!B158</f>
        <v>939 Old U. S. Route 52, New Richmond, OH 45157</v>
      </c>
      <c r="U341" t="str">
        <f>'HAULING RATES- ODOT Locations'!D$8</f>
        <v>Slag</v>
      </c>
      <c r="V341" s="146">
        <f>'HAULING RATES- ODOT Locations'!D158</f>
        <v>0</v>
      </c>
      <c r="W341" s="131" t="str">
        <f>+'Aggregate, Plant Pick-up'!$C$6</f>
        <v>LAFARGE-MARBLEHEAD "OSBORNE-CLEVELAND"</v>
      </c>
      <c r="X341" s="131" t="str">
        <f>+Plant_Information!$B$10</f>
        <v>04105-28</v>
      </c>
      <c r="Y341" s="131" t="str">
        <f>+Plant_Information!$B$11</f>
        <v>2100 CENTRAL FURNACE ROAD</v>
      </c>
      <c r="Z341" s="131" t="str">
        <f>+Plant_Information!$B$12</f>
        <v>CLEVELAND, OH, 44115</v>
      </c>
      <c r="AA341" s="131" t="str">
        <f>+Plant_Information!$B$13</f>
        <v>12</v>
      </c>
      <c r="AB341" s="131" t="str">
        <f>+Plant_Information!$B$14</f>
        <v>CUY</v>
      </c>
      <c r="AC341" s="70"/>
    </row>
    <row r="342" spans="17:29" x14ac:dyDescent="0.2">
      <c r="Q342" t="str">
        <f>Plant_Information!$B$6</f>
        <v>(INSERT VENDOR NAME HERE)</v>
      </c>
      <c r="R342" t="str">
        <f>'HAULING RATES- ODOT Locations'!$A$151</f>
        <v>District 8</v>
      </c>
      <c r="S342" t="str">
        <f>'HAULING RATES- ODOT Locations'!A159</f>
        <v>Clinton</v>
      </c>
      <c r="T342" t="str">
        <f>'HAULING RATES- ODOT Locations'!B159</f>
        <v>3382 U. S. Route 68, Wilmington, OH 45177</v>
      </c>
      <c r="U342" t="str">
        <f>'HAULING RATES- ODOT Locations'!D$8</f>
        <v>Slag</v>
      </c>
      <c r="V342" s="146">
        <f>'HAULING RATES- ODOT Locations'!D159</f>
        <v>0</v>
      </c>
      <c r="W342" s="131" t="str">
        <f>+'Aggregate, Plant Pick-up'!$C$6</f>
        <v>LAFARGE-MARBLEHEAD "OSBORNE-CLEVELAND"</v>
      </c>
      <c r="X342" s="131" t="str">
        <f>+Plant_Information!$B$10</f>
        <v>04105-28</v>
      </c>
      <c r="Y342" s="131" t="str">
        <f>+Plant_Information!$B$11</f>
        <v>2100 CENTRAL FURNACE ROAD</v>
      </c>
      <c r="Z342" s="131" t="str">
        <f>+Plant_Information!$B$12</f>
        <v>CLEVELAND, OH, 44115</v>
      </c>
      <c r="AA342" s="131" t="str">
        <f>+Plant_Information!$B$13</f>
        <v>12</v>
      </c>
      <c r="AB342" s="131" t="str">
        <f>+Plant_Information!$B$14</f>
        <v>CUY</v>
      </c>
      <c r="AC342" s="70"/>
    </row>
    <row r="343" spans="17:29" x14ac:dyDescent="0.2">
      <c r="Q343" t="str">
        <f>Plant_Information!$B$6</f>
        <v>(INSERT VENDOR NAME HERE)</v>
      </c>
      <c r="R343" t="str">
        <f>'HAULING RATES- ODOT Locations'!$A$151</f>
        <v>District 8</v>
      </c>
      <c r="S343" t="str">
        <f>'HAULING RATES- ODOT Locations'!A160</f>
        <v>Clinton</v>
      </c>
      <c r="T343" t="str">
        <f>'HAULING RATES- ODOT Locations'!B160</f>
        <v>5996 U. S. Route 68, Wilmington, OH 45177  (I-71 &amp; USR 68 OP)</v>
      </c>
      <c r="U343" t="str">
        <f>'HAULING RATES- ODOT Locations'!D$8</f>
        <v>Slag</v>
      </c>
      <c r="V343" s="146">
        <f>'HAULING RATES- ODOT Locations'!D160</f>
        <v>0</v>
      </c>
      <c r="W343" s="131" t="str">
        <f>+'Aggregate, Plant Pick-up'!$C$6</f>
        <v>LAFARGE-MARBLEHEAD "OSBORNE-CLEVELAND"</v>
      </c>
      <c r="X343" s="131" t="str">
        <f>+Plant_Information!$B$10</f>
        <v>04105-28</v>
      </c>
      <c r="Y343" s="131" t="str">
        <f>+Plant_Information!$B$11</f>
        <v>2100 CENTRAL FURNACE ROAD</v>
      </c>
      <c r="Z343" s="131" t="str">
        <f>+Plant_Information!$B$12</f>
        <v>CLEVELAND, OH, 44115</v>
      </c>
      <c r="AA343" s="131" t="str">
        <f>+Plant_Information!$B$13</f>
        <v>12</v>
      </c>
      <c r="AB343" s="131" t="str">
        <f>+Plant_Information!$B$14</f>
        <v>CUY</v>
      </c>
      <c r="AC343" s="70"/>
    </row>
    <row r="344" spans="17:29" x14ac:dyDescent="0.2">
      <c r="Q344" t="str">
        <f>Plant_Information!$B$6</f>
        <v>(INSERT VENDOR NAME HERE)</v>
      </c>
      <c r="R344" t="str">
        <f>'HAULING RATES- ODOT Locations'!$A$151</f>
        <v>District 8</v>
      </c>
      <c r="S344" t="str">
        <f>'HAULING RATES- ODOT Locations'!A161</f>
        <v>Greene</v>
      </c>
      <c r="T344" t="str">
        <f>'HAULING RATES- ODOT Locations'!B161</f>
        <v>81 Innovation Dr., Xenia, OH 45385</v>
      </c>
      <c r="U344" t="str">
        <f>'HAULING RATES- ODOT Locations'!D$8</f>
        <v>Slag</v>
      </c>
      <c r="V344" s="146">
        <f>'HAULING RATES- ODOT Locations'!D161</f>
        <v>0</v>
      </c>
      <c r="W344" s="131" t="str">
        <f>+'Aggregate, Plant Pick-up'!$C$6</f>
        <v>LAFARGE-MARBLEHEAD "OSBORNE-CLEVELAND"</v>
      </c>
      <c r="X344" s="131" t="str">
        <f>+Plant_Information!$B$10</f>
        <v>04105-28</v>
      </c>
      <c r="Y344" s="131" t="str">
        <f>+Plant_Information!$B$11</f>
        <v>2100 CENTRAL FURNACE ROAD</v>
      </c>
      <c r="Z344" s="131" t="str">
        <f>+Plant_Information!$B$12</f>
        <v>CLEVELAND, OH, 44115</v>
      </c>
      <c r="AA344" s="131" t="str">
        <f>+Plant_Information!$B$13</f>
        <v>12</v>
      </c>
      <c r="AB344" s="131" t="str">
        <f>+Plant_Information!$B$14</f>
        <v>CUY</v>
      </c>
      <c r="AC344" s="70"/>
    </row>
    <row r="345" spans="17:29" x14ac:dyDescent="0.2">
      <c r="Q345" t="str">
        <f>Plant_Information!$B$6</f>
        <v>(INSERT VENDOR NAME HERE)</v>
      </c>
      <c r="R345" t="str">
        <f>'HAULING RATES- ODOT Locations'!$A$151</f>
        <v>District 8</v>
      </c>
      <c r="S345" t="str">
        <f>'HAULING RATES- ODOT Locations'!A162</f>
        <v>Hamilton</v>
      </c>
      <c r="T345" t="str">
        <f>'HAULING RATES- ODOT Locations'!B162</f>
        <v>Blue Ash OP, 11590 Grooms Road, Blue Ash, OH 45242</v>
      </c>
      <c r="U345" t="str">
        <f>'HAULING RATES- ODOT Locations'!D$8</f>
        <v>Slag</v>
      </c>
      <c r="V345" s="146">
        <f>'HAULING RATES- ODOT Locations'!D162</f>
        <v>0</v>
      </c>
      <c r="W345" s="131" t="str">
        <f>+'Aggregate, Plant Pick-up'!$C$6</f>
        <v>LAFARGE-MARBLEHEAD "OSBORNE-CLEVELAND"</v>
      </c>
      <c r="X345" s="131" t="str">
        <f>+Plant_Information!$B$10</f>
        <v>04105-28</v>
      </c>
      <c r="Y345" s="131" t="str">
        <f>+Plant_Information!$B$11</f>
        <v>2100 CENTRAL FURNACE ROAD</v>
      </c>
      <c r="Z345" s="131" t="str">
        <f>+Plant_Information!$B$12</f>
        <v>CLEVELAND, OH, 44115</v>
      </c>
      <c r="AA345" s="131" t="str">
        <f>+Plant_Information!$B$13</f>
        <v>12</v>
      </c>
      <c r="AB345" s="131" t="str">
        <f>+Plant_Information!$B$14</f>
        <v>CUY</v>
      </c>
      <c r="AC345" s="70"/>
    </row>
    <row r="346" spans="17:29" x14ac:dyDescent="0.2">
      <c r="Q346" t="str">
        <f>Plant_Information!$B$6</f>
        <v>(INSERT VENDOR NAME HERE)</v>
      </c>
      <c r="R346" t="str">
        <f>'HAULING RATES- ODOT Locations'!$A$151</f>
        <v>District 8</v>
      </c>
      <c r="S346" t="str">
        <f>'HAULING RATES- ODOT Locations'!A163</f>
        <v>Hamilton</v>
      </c>
      <c r="T346" t="str">
        <f>'HAULING RATES- ODOT Locations'!B163</f>
        <v>Hamilton Garage, Carthage, 1400 E. Seymour Ave., Cincinnati, OH 45327</v>
      </c>
      <c r="U346" t="str">
        <f>'HAULING RATES- ODOT Locations'!D$8</f>
        <v>Slag</v>
      </c>
      <c r="V346" s="146">
        <f>'HAULING RATES- ODOT Locations'!D163</f>
        <v>0</v>
      </c>
      <c r="W346" s="131" t="str">
        <f>+'Aggregate, Plant Pick-up'!$C$6</f>
        <v>LAFARGE-MARBLEHEAD "OSBORNE-CLEVELAND"</v>
      </c>
      <c r="X346" s="131" t="str">
        <f>+Plant_Information!$B$10</f>
        <v>04105-28</v>
      </c>
      <c r="Y346" s="131" t="str">
        <f>+Plant_Information!$B$11</f>
        <v>2100 CENTRAL FURNACE ROAD</v>
      </c>
      <c r="Z346" s="131" t="str">
        <f>+Plant_Information!$B$12</f>
        <v>CLEVELAND, OH, 44115</v>
      </c>
      <c r="AA346" s="131" t="str">
        <f>+Plant_Information!$B$13</f>
        <v>12</v>
      </c>
      <c r="AB346" s="131" t="str">
        <f>+Plant_Information!$B$14</f>
        <v>CUY</v>
      </c>
      <c r="AC346" s="70"/>
    </row>
    <row r="347" spans="17:29" x14ac:dyDescent="0.2">
      <c r="Q347" t="str">
        <f>Plant_Information!$B$6</f>
        <v>(INSERT VENDOR NAME HERE)</v>
      </c>
      <c r="R347" t="str">
        <f>'HAULING RATES- ODOT Locations'!$A$151</f>
        <v>District 8</v>
      </c>
      <c r="S347" t="str">
        <f>'HAULING RATES- ODOT Locations'!A164</f>
        <v>Hamilton</v>
      </c>
      <c r="T347" t="str">
        <f>'HAULING RATES- ODOT Locations'!B164</f>
        <v>5903 State Route 128, Miamitown, OH 45041</v>
      </c>
      <c r="U347" t="str">
        <f>'HAULING RATES- ODOT Locations'!D$8</f>
        <v>Slag</v>
      </c>
      <c r="V347" s="146">
        <f>'HAULING RATES- ODOT Locations'!D164</f>
        <v>0</v>
      </c>
      <c r="W347" s="131" t="str">
        <f>+'Aggregate, Plant Pick-up'!$C$6</f>
        <v>LAFARGE-MARBLEHEAD "OSBORNE-CLEVELAND"</v>
      </c>
      <c r="X347" s="131" t="str">
        <f>+Plant_Information!$B$10</f>
        <v>04105-28</v>
      </c>
      <c r="Y347" s="131" t="str">
        <f>+Plant_Information!$B$11</f>
        <v>2100 CENTRAL FURNACE ROAD</v>
      </c>
      <c r="Z347" s="131" t="str">
        <f>+Plant_Information!$B$12</f>
        <v>CLEVELAND, OH, 44115</v>
      </c>
      <c r="AA347" s="131" t="str">
        <f>+Plant_Information!$B$13</f>
        <v>12</v>
      </c>
      <c r="AB347" s="131" t="str">
        <f>+Plant_Information!$B$14</f>
        <v>CUY</v>
      </c>
      <c r="AC347" s="70"/>
    </row>
    <row r="348" spans="17:29" x14ac:dyDescent="0.2">
      <c r="Q348" t="str">
        <f>Plant_Information!$B$6</f>
        <v>(INSERT VENDOR NAME HERE)</v>
      </c>
      <c r="R348" t="str">
        <f>'HAULING RATES- ODOT Locations'!$A$151</f>
        <v>District 8</v>
      </c>
      <c r="S348" t="str">
        <f>'HAULING RATES- ODOT Locations'!A165</f>
        <v>Hamilton</v>
      </c>
      <c r="T348" t="str">
        <f>'HAULING RATES- ODOT Locations'!B165</f>
        <v>Sharonville OP, 11900 Chesterdale Rd.,  Cincinnati</v>
      </c>
      <c r="U348" t="str">
        <f>'HAULING RATES- ODOT Locations'!D$8</f>
        <v>Slag</v>
      </c>
      <c r="V348" s="146">
        <f>'HAULING RATES- ODOT Locations'!D165</f>
        <v>0</v>
      </c>
      <c r="W348" s="131" t="str">
        <f>+'Aggregate, Plant Pick-up'!$C$6</f>
        <v>LAFARGE-MARBLEHEAD "OSBORNE-CLEVELAND"</v>
      </c>
      <c r="X348" s="131" t="str">
        <f>+Plant_Information!$B$10</f>
        <v>04105-28</v>
      </c>
      <c r="Y348" s="131" t="str">
        <f>+Plant_Information!$B$11</f>
        <v>2100 CENTRAL FURNACE ROAD</v>
      </c>
      <c r="Z348" s="131" t="str">
        <f>+Plant_Information!$B$12</f>
        <v>CLEVELAND, OH, 44115</v>
      </c>
      <c r="AA348" s="131" t="str">
        <f>+Plant_Information!$B$13</f>
        <v>12</v>
      </c>
      <c r="AB348" s="131" t="str">
        <f>+Plant_Information!$B$14</f>
        <v>CUY</v>
      </c>
      <c r="AC348" s="70"/>
    </row>
    <row r="349" spans="17:29" x14ac:dyDescent="0.2">
      <c r="Q349" t="str">
        <f>Plant_Information!$B$6</f>
        <v>(INSERT VENDOR NAME HERE)</v>
      </c>
      <c r="R349" t="str">
        <f>'HAULING RATES- ODOT Locations'!$A$151</f>
        <v>District 8</v>
      </c>
      <c r="S349" t="str">
        <f>'HAULING RATES- ODOT Locations'!A166</f>
        <v>Preble</v>
      </c>
      <c r="T349" t="str">
        <f>'HAULING RATES- ODOT Locations'!B166</f>
        <v>40' Pitch OP, 5656 US 127 North, Eaton, OH 45320</v>
      </c>
      <c r="U349" t="str">
        <f>'HAULING RATES- ODOT Locations'!D$8</f>
        <v>Slag</v>
      </c>
      <c r="V349" s="146">
        <f>'HAULING RATES- ODOT Locations'!D166</f>
        <v>0</v>
      </c>
      <c r="W349" s="131" t="str">
        <f>+'Aggregate, Plant Pick-up'!$C$6</f>
        <v>LAFARGE-MARBLEHEAD "OSBORNE-CLEVELAND"</v>
      </c>
      <c r="X349" s="131" t="str">
        <f>+Plant_Information!$B$10</f>
        <v>04105-28</v>
      </c>
      <c r="Y349" s="131" t="str">
        <f>+Plant_Information!$B$11</f>
        <v>2100 CENTRAL FURNACE ROAD</v>
      </c>
      <c r="Z349" s="131" t="str">
        <f>+Plant_Information!$B$12</f>
        <v>CLEVELAND, OH, 44115</v>
      </c>
      <c r="AA349" s="131" t="str">
        <f>+Plant_Information!$B$13</f>
        <v>12</v>
      </c>
      <c r="AB349" s="131" t="str">
        <f>+Plant_Information!$B$14</f>
        <v>CUY</v>
      </c>
      <c r="AC349" s="70"/>
    </row>
    <row r="350" spans="17:29" x14ac:dyDescent="0.2">
      <c r="Q350" t="str">
        <f>Plant_Information!$B$6</f>
        <v>(INSERT VENDOR NAME HERE)</v>
      </c>
      <c r="R350" t="str">
        <f>'HAULING RATES- ODOT Locations'!$A$151</f>
        <v>District 8</v>
      </c>
      <c r="S350" t="str">
        <f>'HAULING RATES- ODOT Locations'!A167</f>
        <v>Preble</v>
      </c>
      <c r="T350" t="str">
        <f>'HAULING RATES- ODOT Locations'!B167</f>
        <v>39.575773, -84.711591, According to Google Maps, 17188 SR 732, Camden, Ohio  45311</v>
      </c>
      <c r="U350" t="str">
        <f>'HAULING RATES- ODOT Locations'!D$8</f>
        <v>Slag</v>
      </c>
      <c r="V350" s="146">
        <f>'HAULING RATES- ODOT Locations'!D167</f>
        <v>0</v>
      </c>
      <c r="W350" s="131" t="str">
        <f>+'Aggregate, Plant Pick-up'!$C$6</f>
        <v>LAFARGE-MARBLEHEAD "OSBORNE-CLEVELAND"</v>
      </c>
      <c r="X350" s="131" t="str">
        <f>+Plant_Information!$B$10</f>
        <v>04105-28</v>
      </c>
      <c r="Y350" s="131" t="str">
        <f>+Plant_Information!$B$11</f>
        <v>2100 CENTRAL FURNACE ROAD</v>
      </c>
      <c r="Z350" s="131" t="str">
        <f>+Plant_Information!$B$12</f>
        <v>CLEVELAND, OH, 44115</v>
      </c>
      <c r="AA350" s="131" t="str">
        <f>+Plant_Information!$B$13</f>
        <v>12</v>
      </c>
      <c r="AB350" s="131" t="str">
        <f>+Plant_Information!$B$14</f>
        <v>CUY</v>
      </c>
      <c r="AC350" s="70"/>
    </row>
    <row r="351" spans="17:29" x14ac:dyDescent="0.2">
      <c r="Q351" t="str">
        <f>Plant_Information!$B$6</f>
        <v>(INSERT VENDOR NAME HERE)</v>
      </c>
      <c r="R351" t="str">
        <f>'HAULING RATES- ODOT Locations'!$A$151</f>
        <v>District 8</v>
      </c>
      <c r="S351" t="str">
        <f>'HAULING RATES- ODOT Locations'!A168</f>
        <v>Preble</v>
      </c>
      <c r="T351" t="str">
        <f>'HAULING RATES- ODOT Locations'!B168</f>
        <v>234 Quaker Trace Road, West Alexandria, OH 45381</v>
      </c>
      <c r="U351" t="str">
        <f>'HAULING RATES- ODOT Locations'!D$8</f>
        <v>Slag</v>
      </c>
      <c r="V351" s="146">
        <f>'HAULING RATES- ODOT Locations'!D168</f>
        <v>0</v>
      </c>
      <c r="W351" s="131" t="str">
        <f>+'Aggregate, Plant Pick-up'!$C$6</f>
        <v>LAFARGE-MARBLEHEAD "OSBORNE-CLEVELAND"</v>
      </c>
      <c r="X351" s="131" t="str">
        <f>+Plant_Information!$B$10</f>
        <v>04105-28</v>
      </c>
      <c r="Y351" s="131" t="str">
        <f>+Plant_Information!$B$11</f>
        <v>2100 CENTRAL FURNACE ROAD</v>
      </c>
      <c r="Z351" s="131" t="str">
        <f>+Plant_Information!$B$12</f>
        <v>CLEVELAND, OH, 44115</v>
      </c>
      <c r="AA351" s="131" t="str">
        <f>+Plant_Information!$B$13</f>
        <v>12</v>
      </c>
      <c r="AB351" s="131" t="str">
        <f>+Plant_Information!$B$14</f>
        <v>CUY</v>
      </c>
      <c r="AC351" s="70"/>
    </row>
    <row r="352" spans="17:29" x14ac:dyDescent="0.2">
      <c r="Q352" t="str">
        <f>Plant_Information!$B$6</f>
        <v>(INSERT VENDOR NAME HERE)</v>
      </c>
      <c r="R352" t="str">
        <f>'HAULING RATES- ODOT Locations'!$A$151</f>
        <v>District 8</v>
      </c>
      <c r="S352" t="str">
        <f>'HAULING RATES- ODOT Locations'!A169</f>
        <v>Warren</v>
      </c>
      <c r="T352" t="str">
        <f>'HAULING RATES- ODOT Locations'!B169</f>
        <v>Monroe OP, 6101 State Route 63, Lebanon, OH 45036</v>
      </c>
      <c r="U352" t="str">
        <f>'HAULING RATES- ODOT Locations'!D$8</f>
        <v>Slag</v>
      </c>
      <c r="V352" s="146">
        <f>'HAULING RATES- ODOT Locations'!D169</f>
        <v>0</v>
      </c>
      <c r="W352" s="131" t="str">
        <f>+'Aggregate, Plant Pick-up'!$C$6</f>
        <v>LAFARGE-MARBLEHEAD "OSBORNE-CLEVELAND"</v>
      </c>
      <c r="X352" s="131" t="str">
        <f>+Plant_Information!$B$10</f>
        <v>04105-28</v>
      </c>
      <c r="Y352" s="131" t="str">
        <f>+Plant_Information!$B$11</f>
        <v>2100 CENTRAL FURNACE ROAD</v>
      </c>
      <c r="Z352" s="131" t="str">
        <f>+Plant_Information!$B$12</f>
        <v>CLEVELAND, OH, 44115</v>
      </c>
      <c r="AA352" s="131" t="str">
        <f>+Plant_Information!$B$13</f>
        <v>12</v>
      </c>
      <c r="AB352" s="131" t="str">
        <f>+Plant_Information!$B$14</f>
        <v>CUY</v>
      </c>
      <c r="AC352" s="70"/>
    </row>
    <row r="353" spans="17:29" x14ac:dyDescent="0.2">
      <c r="Q353" t="str">
        <f>Plant_Information!$B$6</f>
        <v>(INSERT VENDOR NAME HERE)</v>
      </c>
      <c r="R353" t="str">
        <f>'HAULING RATES- ODOT Locations'!$A$151</f>
        <v>District 8</v>
      </c>
      <c r="S353" t="str">
        <f>'HAULING RATES- ODOT Locations'!A170</f>
        <v>Warren</v>
      </c>
      <c r="T353" t="str">
        <f>'HAULING RATES- ODOT Locations'!B170</f>
        <v>1790 Cornett Drive, Lebanon, OH 45036</v>
      </c>
      <c r="U353" t="str">
        <f>'HAULING RATES- ODOT Locations'!D$8</f>
        <v>Slag</v>
      </c>
      <c r="V353" s="146">
        <f>'HAULING RATES- ODOT Locations'!D170</f>
        <v>0</v>
      </c>
      <c r="W353" s="131" t="str">
        <f>+'Aggregate, Plant Pick-up'!$C$6</f>
        <v>LAFARGE-MARBLEHEAD "OSBORNE-CLEVELAND"</v>
      </c>
      <c r="X353" s="131" t="str">
        <f>+Plant_Information!$B$10</f>
        <v>04105-28</v>
      </c>
      <c r="Y353" s="131" t="str">
        <f>+Plant_Information!$B$11</f>
        <v>2100 CENTRAL FURNACE ROAD</v>
      </c>
      <c r="Z353" s="131" t="str">
        <f>+Plant_Information!$B$12</f>
        <v>CLEVELAND, OH, 44115</v>
      </c>
      <c r="AA353" s="131" t="str">
        <f>+Plant_Information!$B$13</f>
        <v>12</v>
      </c>
      <c r="AB353" s="131" t="str">
        <f>+Plant_Information!$B$14</f>
        <v>CUY</v>
      </c>
      <c r="AC353" s="70"/>
    </row>
    <row r="354" spans="17:29" x14ac:dyDescent="0.2">
      <c r="Q354" t="str">
        <f>Plant_Information!$B$6</f>
        <v>(INSERT VENDOR NAME HERE)</v>
      </c>
      <c r="R354" t="str">
        <f>'HAULING RATES- ODOT Locations'!$A$171</f>
        <v>District 9</v>
      </c>
      <c r="S354" t="str">
        <f>'HAULING RATES- ODOT Locations'!A174</f>
        <v>Adams</v>
      </c>
      <c r="T354" t="str">
        <f>'HAULING RATES- ODOT Locations'!B174</f>
        <v>1305 Measley Ridge Rd. Peebles, OH 45660</v>
      </c>
      <c r="U354" t="str">
        <f>'HAULING RATES- ODOT Locations'!D$8</f>
        <v>Slag</v>
      </c>
      <c r="V354" s="146">
        <f>'HAULING RATES- ODOT Locations'!D174</f>
        <v>0</v>
      </c>
      <c r="W354" s="131" t="str">
        <f>+'Aggregate, Plant Pick-up'!$C$6</f>
        <v>LAFARGE-MARBLEHEAD "OSBORNE-CLEVELAND"</v>
      </c>
      <c r="X354" s="131" t="str">
        <f>+Plant_Information!$B$10</f>
        <v>04105-28</v>
      </c>
      <c r="Y354" s="131" t="str">
        <f>+Plant_Information!$B$11</f>
        <v>2100 CENTRAL FURNACE ROAD</v>
      </c>
      <c r="Z354" s="131" t="str">
        <f>+Plant_Information!$B$12</f>
        <v>CLEVELAND, OH, 44115</v>
      </c>
      <c r="AA354" s="131" t="str">
        <f>+Plant_Information!$B$13</f>
        <v>12</v>
      </c>
      <c r="AB354" s="131" t="str">
        <f>+Plant_Information!$B$14</f>
        <v>CUY</v>
      </c>
      <c r="AC354" s="70"/>
    </row>
    <row r="355" spans="17:29" x14ac:dyDescent="0.2">
      <c r="Q355" t="str">
        <f>Plant_Information!$B$6</f>
        <v>(INSERT VENDOR NAME HERE)</v>
      </c>
      <c r="R355" t="str">
        <f>'HAULING RATES- ODOT Locations'!$A$171</f>
        <v>District 9</v>
      </c>
      <c r="S355" t="str">
        <f>'HAULING RATES- ODOT Locations'!A175</f>
        <v>Adams</v>
      </c>
      <c r="T355" t="str">
        <f>'HAULING RATES- ODOT Locations'!B175</f>
        <v>220 CIC Blvd., West Union, OH 45693</v>
      </c>
      <c r="U355" t="str">
        <f>'HAULING RATES- ODOT Locations'!D$8</f>
        <v>Slag</v>
      </c>
      <c r="V355" s="146">
        <f>'HAULING RATES- ODOT Locations'!D175</f>
        <v>0</v>
      </c>
      <c r="W355" s="131" t="str">
        <f>+'Aggregate, Plant Pick-up'!$C$6</f>
        <v>LAFARGE-MARBLEHEAD "OSBORNE-CLEVELAND"</v>
      </c>
      <c r="X355" s="131" t="str">
        <f>+Plant_Information!$B$10</f>
        <v>04105-28</v>
      </c>
      <c r="Y355" s="131" t="str">
        <f>+Plant_Information!$B$11</f>
        <v>2100 CENTRAL FURNACE ROAD</v>
      </c>
      <c r="Z355" s="131" t="str">
        <f>+Plant_Information!$B$12</f>
        <v>CLEVELAND, OH, 44115</v>
      </c>
      <c r="AA355" s="131" t="str">
        <f>+Plant_Information!$B$13</f>
        <v>12</v>
      </c>
      <c r="AB355" s="131" t="str">
        <f>+Plant_Information!$B$14</f>
        <v>CUY</v>
      </c>
      <c r="AC355" s="70"/>
    </row>
    <row r="356" spans="17:29" x14ac:dyDescent="0.2">
      <c r="Q356" t="str">
        <f>Plant_Information!$B$6</f>
        <v>(INSERT VENDOR NAME HERE)</v>
      </c>
      <c r="R356" t="str">
        <f>'HAULING RATES- ODOT Locations'!$A$171</f>
        <v>District 9</v>
      </c>
      <c r="S356" t="str">
        <f>'HAULING RATES- ODOT Locations'!A176</f>
        <v>Brown</v>
      </c>
      <c r="T356" t="str">
        <f>'HAULING RATES- ODOT Locations'!B176</f>
        <v>5124 S.R. 125 Georgetown, OH 45121</v>
      </c>
      <c r="U356" t="str">
        <f>'HAULING RATES- ODOT Locations'!D$8</f>
        <v>Slag</v>
      </c>
      <c r="V356" s="146">
        <f>'HAULING RATES- ODOT Locations'!D176</f>
        <v>0</v>
      </c>
      <c r="W356" s="131" t="str">
        <f>+'Aggregate, Plant Pick-up'!$C$6</f>
        <v>LAFARGE-MARBLEHEAD "OSBORNE-CLEVELAND"</v>
      </c>
      <c r="X356" s="131" t="str">
        <f>+Plant_Information!$B$10</f>
        <v>04105-28</v>
      </c>
      <c r="Y356" s="131" t="str">
        <f>+Plant_Information!$B$11</f>
        <v>2100 CENTRAL FURNACE ROAD</v>
      </c>
      <c r="Z356" s="131" t="str">
        <f>+Plant_Information!$B$12</f>
        <v>CLEVELAND, OH, 44115</v>
      </c>
      <c r="AA356" s="131" t="str">
        <f>+Plant_Information!$B$13</f>
        <v>12</v>
      </c>
      <c r="AB356" s="131" t="str">
        <f>+Plant_Information!$B$14</f>
        <v>CUY</v>
      </c>
      <c r="AC356" s="70"/>
    </row>
    <row r="357" spans="17:29" x14ac:dyDescent="0.2">
      <c r="Q357" t="str">
        <f>Plant_Information!$B$6</f>
        <v>(INSERT VENDOR NAME HERE)</v>
      </c>
      <c r="R357" t="str">
        <f>'HAULING RATES- ODOT Locations'!$A$171</f>
        <v>District 9</v>
      </c>
      <c r="S357" t="str">
        <f>'HAULING RATES- ODOT Locations'!A177</f>
        <v>Brown</v>
      </c>
      <c r="T357" t="str">
        <f>'HAULING RATES- ODOT Locations'!B177</f>
        <v>White Oak OP, 5033 Canyon Rd. Mount Orab, OH 45134</v>
      </c>
      <c r="U357" t="str">
        <f>'HAULING RATES- ODOT Locations'!D$8</f>
        <v>Slag</v>
      </c>
      <c r="V357" s="146">
        <f>'HAULING RATES- ODOT Locations'!D177</f>
        <v>0</v>
      </c>
      <c r="W357" s="131" t="str">
        <f>+'Aggregate, Plant Pick-up'!$C$6</f>
        <v>LAFARGE-MARBLEHEAD "OSBORNE-CLEVELAND"</v>
      </c>
      <c r="X357" s="131" t="str">
        <f>+Plant_Information!$B$10</f>
        <v>04105-28</v>
      </c>
      <c r="Y357" s="131" t="str">
        <f>+Plant_Information!$B$11</f>
        <v>2100 CENTRAL FURNACE ROAD</v>
      </c>
      <c r="Z357" s="131" t="str">
        <f>+Plant_Information!$B$12</f>
        <v>CLEVELAND, OH, 44115</v>
      </c>
      <c r="AA357" s="131" t="str">
        <f>+Plant_Information!$B$13</f>
        <v>12</v>
      </c>
      <c r="AB357" s="131" t="str">
        <f>+Plant_Information!$B$14</f>
        <v>CUY</v>
      </c>
      <c r="AC357" s="70"/>
    </row>
    <row r="358" spans="17:29" x14ac:dyDescent="0.2">
      <c r="Q358" t="str">
        <f>Plant_Information!$B$6</f>
        <v>(INSERT VENDOR NAME HERE)</v>
      </c>
      <c r="R358" t="str">
        <f>'HAULING RATES- ODOT Locations'!$A$171</f>
        <v>District 9</v>
      </c>
      <c r="S358" t="str">
        <f>'HAULING RATES- ODOT Locations'!A178</f>
        <v>Highland</v>
      </c>
      <c r="T358" t="str">
        <f>'HAULING RATES- ODOT Locations'!B178</f>
        <v>521 E Main St, Hillsboro, OH 45133</v>
      </c>
      <c r="U358" t="str">
        <f>'HAULING RATES- ODOT Locations'!D$8</f>
        <v>Slag</v>
      </c>
      <c r="V358" s="146">
        <f>'HAULING RATES- ODOT Locations'!D178</f>
        <v>0</v>
      </c>
      <c r="W358" s="131" t="str">
        <f>+'Aggregate, Plant Pick-up'!$C$6</f>
        <v>LAFARGE-MARBLEHEAD "OSBORNE-CLEVELAND"</v>
      </c>
      <c r="X358" s="131" t="str">
        <f>+Plant_Information!$B$10</f>
        <v>04105-28</v>
      </c>
      <c r="Y358" s="131" t="str">
        <f>+Plant_Information!$B$11</f>
        <v>2100 CENTRAL FURNACE ROAD</v>
      </c>
      <c r="Z358" s="131" t="str">
        <f>+Plant_Information!$B$12</f>
        <v>CLEVELAND, OH, 44115</v>
      </c>
      <c r="AA358" s="131" t="str">
        <f>+Plant_Information!$B$13</f>
        <v>12</v>
      </c>
      <c r="AB358" s="131" t="str">
        <f>+Plant_Information!$B$14</f>
        <v>CUY</v>
      </c>
      <c r="AC358" s="70"/>
    </row>
    <row r="359" spans="17:29" x14ac:dyDescent="0.2">
      <c r="Q359" t="str">
        <f>Plant_Information!$B$6</f>
        <v>(INSERT VENDOR NAME HERE)</v>
      </c>
      <c r="R359" t="str">
        <f>'HAULING RATES- ODOT Locations'!$A$171</f>
        <v>District 9</v>
      </c>
      <c r="S359" t="str">
        <f>'HAULING RATES- ODOT Locations'!A179</f>
        <v>Jackson</v>
      </c>
      <c r="T359" t="str">
        <f>'HAULING RATES- ODOT Locations'!B179</f>
        <v>2251 Rice Rd. Jackson, OH 45640</v>
      </c>
      <c r="U359" t="str">
        <f>'HAULING RATES- ODOT Locations'!D$8</f>
        <v>Slag</v>
      </c>
      <c r="V359" s="146">
        <f>'HAULING RATES- ODOT Locations'!D179</f>
        <v>0</v>
      </c>
      <c r="W359" s="131" t="str">
        <f>+'Aggregate, Plant Pick-up'!$C$6</f>
        <v>LAFARGE-MARBLEHEAD "OSBORNE-CLEVELAND"</v>
      </c>
      <c r="X359" s="131" t="str">
        <f>+Plant_Information!$B$10</f>
        <v>04105-28</v>
      </c>
      <c r="Y359" s="131" t="str">
        <f>+Plant_Information!$B$11</f>
        <v>2100 CENTRAL FURNACE ROAD</v>
      </c>
      <c r="Z359" s="131" t="str">
        <f>+Plant_Information!$B$12</f>
        <v>CLEVELAND, OH, 44115</v>
      </c>
      <c r="AA359" s="131" t="str">
        <f>+Plant_Information!$B$13</f>
        <v>12</v>
      </c>
      <c r="AB359" s="131" t="str">
        <f>+Plant_Information!$B$14</f>
        <v>CUY</v>
      </c>
      <c r="AC359" s="70"/>
    </row>
    <row r="360" spans="17:29" x14ac:dyDescent="0.2">
      <c r="Q360" t="str">
        <f>Plant_Information!$B$6</f>
        <v>(INSERT VENDOR NAME HERE)</v>
      </c>
      <c r="R360" t="str">
        <f>'HAULING RATES- ODOT Locations'!$A$171</f>
        <v>District 9</v>
      </c>
      <c r="S360" t="str">
        <f>'HAULING RATES- ODOT Locations'!A180</f>
        <v>Jackson</v>
      </c>
      <c r="T360" t="str">
        <f>'HAULING RATES- ODOT Locations'!B180</f>
        <v>13366 SR 279, Oak Hill, OH 45656</v>
      </c>
      <c r="U360" t="str">
        <f>'HAULING RATES- ODOT Locations'!D$8</f>
        <v>Slag</v>
      </c>
      <c r="V360" s="146">
        <f>'HAULING RATES- ODOT Locations'!D180</f>
        <v>0</v>
      </c>
      <c r="W360" s="131" t="str">
        <f>+'Aggregate, Plant Pick-up'!$C$6</f>
        <v>LAFARGE-MARBLEHEAD "OSBORNE-CLEVELAND"</v>
      </c>
      <c r="X360" s="131" t="str">
        <f>+Plant_Information!$B$10</f>
        <v>04105-28</v>
      </c>
      <c r="Y360" s="131" t="str">
        <f>+Plant_Information!$B$11</f>
        <v>2100 CENTRAL FURNACE ROAD</v>
      </c>
      <c r="Z360" s="131" t="str">
        <f>+Plant_Information!$B$12</f>
        <v>CLEVELAND, OH, 44115</v>
      </c>
      <c r="AA360" s="131" t="str">
        <f>+Plant_Information!$B$13</f>
        <v>12</v>
      </c>
      <c r="AB360" s="131" t="str">
        <f>+Plant_Information!$B$14</f>
        <v>CUY</v>
      </c>
      <c r="AC360" s="70"/>
    </row>
    <row r="361" spans="17:29" x14ac:dyDescent="0.2">
      <c r="Q361" t="str">
        <f>Plant_Information!$B$6</f>
        <v>(INSERT VENDOR NAME HERE)</v>
      </c>
      <c r="R361" t="str">
        <f>'HAULING RATES- ODOT Locations'!$A$171</f>
        <v>District 9</v>
      </c>
      <c r="S361" t="str">
        <f>'HAULING RATES- ODOT Locations'!A181</f>
        <v>Lawrence</v>
      </c>
      <c r="T361" t="str">
        <f>'HAULING RATES- ODOT Locations'!B181</f>
        <v>450 Commerce Drive Ironton, OH 45638</v>
      </c>
      <c r="U361" t="str">
        <f>'HAULING RATES- ODOT Locations'!D$8</f>
        <v>Slag</v>
      </c>
      <c r="V361" s="146">
        <f>'HAULING RATES- ODOT Locations'!D181</f>
        <v>0</v>
      </c>
      <c r="W361" s="131" t="str">
        <f>+'Aggregate, Plant Pick-up'!$C$6</f>
        <v>LAFARGE-MARBLEHEAD "OSBORNE-CLEVELAND"</v>
      </c>
      <c r="X361" s="131" t="str">
        <f>+Plant_Information!$B$10</f>
        <v>04105-28</v>
      </c>
      <c r="Y361" s="131" t="str">
        <f>+Plant_Information!$B$11</f>
        <v>2100 CENTRAL FURNACE ROAD</v>
      </c>
      <c r="Z361" s="131" t="str">
        <f>+Plant_Information!$B$12</f>
        <v>CLEVELAND, OH, 44115</v>
      </c>
      <c r="AA361" s="131" t="str">
        <f>+Plant_Information!$B$13</f>
        <v>12</v>
      </c>
      <c r="AB361" s="131" t="str">
        <f>+Plant_Information!$B$14</f>
        <v>CUY</v>
      </c>
      <c r="AC361" s="70"/>
    </row>
    <row r="362" spans="17:29" x14ac:dyDescent="0.2">
      <c r="Q362" t="str">
        <f>Plant_Information!$B$6</f>
        <v>(INSERT VENDOR NAME HERE)</v>
      </c>
      <c r="R362" t="str">
        <f>'HAULING RATES- ODOT Locations'!$A$171</f>
        <v>District 9</v>
      </c>
      <c r="S362" t="str">
        <f>'HAULING RATES- ODOT Locations'!A182</f>
        <v>Lawrence</v>
      </c>
      <c r="T362" t="str">
        <f>'HAULING RATES- ODOT Locations'!B182</f>
        <v>10332 S.R. 775 Proctorville, OH 45669</v>
      </c>
      <c r="U362" t="str">
        <f>'HAULING RATES- ODOT Locations'!D$8</f>
        <v>Slag</v>
      </c>
      <c r="V362" s="146">
        <f>'HAULING RATES- ODOT Locations'!D182</f>
        <v>0</v>
      </c>
      <c r="W362" s="131" t="str">
        <f>+'Aggregate, Plant Pick-up'!$C$6</f>
        <v>LAFARGE-MARBLEHEAD "OSBORNE-CLEVELAND"</v>
      </c>
      <c r="X362" s="131" t="str">
        <f>+Plant_Information!$B$10</f>
        <v>04105-28</v>
      </c>
      <c r="Y362" s="131" t="str">
        <f>+Plant_Information!$B$11</f>
        <v>2100 CENTRAL FURNACE ROAD</v>
      </c>
      <c r="Z362" s="131" t="str">
        <f>+Plant_Information!$B$12</f>
        <v>CLEVELAND, OH, 44115</v>
      </c>
      <c r="AA362" s="131" t="str">
        <f>+Plant_Information!$B$13</f>
        <v>12</v>
      </c>
      <c r="AB362" s="131" t="str">
        <f>+Plant_Information!$B$14</f>
        <v>CUY</v>
      </c>
      <c r="AC362" s="70"/>
    </row>
    <row r="363" spans="17:29" x14ac:dyDescent="0.2">
      <c r="Q363" t="str">
        <f>Plant_Information!$B$6</f>
        <v>(INSERT VENDOR NAME HERE)</v>
      </c>
      <c r="R363" t="str">
        <f>'HAULING RATES- ODOT Locations'!$A$171</f>
        <v>District 9</v>
      </c>
      <c r="S363" t="str">
        <f>'HAULING RATES- ODOT Locations'!A183</f>
        <v>Lawrence</v>
      </c>
      <c r="T363" t="str">
        <f>'HAULING RATES- ODOT Locations'!B183</f>
        <v>16979 S.R. 141 Willow Wood, OH 45696</v>
      </c>
      <c r="U363" t="str">
        <f>'HAULING RATES- ODOT Locations'!D$8</f>
        <v>Slag</v>
      </c>
      <c r="V363" s="146">
        <f>'HAULING RATES- ODOT Locations'!D183</f>
        <v>0</v>
      </c>
      <c r="W363" s="131" t="str">
        <f>+'Aggregate, Plant Pick-up'!$C$6</f>
        <v>LAFARGE-MARBLEHEAD "OSBORNE-CLEVELAND"</v>
      </c>
      <c r="X363" s="131" t="str">
        <f>+Plant_Information!$B$10</f>
        <v>04105-28</v>
      </c>
      <c r="Y363" s="131" t="str">
        <f>+Plant_Information!$B$11</f>
        <v>2100 CENTRAL FURNACE ROAD</v>
      </c>
      <c r="Z363" s="131" t="str">
        <f>+Plant_Information!$B$12</f>
        <v>CLEVELAND, OH, 44115</v>
      </c>
      <c r="AA363" s="131" t="str">
        <f>+Plant_Information!$B$13</f>
        <v>12</v>
      </c>
      <c r="AB363" s="131" t="str">
        <f>+Plant_Information!$B$14</f>
        <v>CUY</v>
      </c>
      <c r="AC363" s="70"/>
    </row>
    <row r="364" spans="17:29" x14ac:dyDescent="0.2">
      <c r="Q364" t="str">
        <f>Plant_Information!$B$6</f>
        <v>(INSERT VENDOR NAME HERE)</v>
      </c>
      <c r="R364" t="str">
        <f>'HAULING RATES- ODOT Locations'!$A$171</f>
        <v>District 9</v>
      </c>
      <c r="S364" t="str">
        <f>'HAULING RATES- ODOT Locations'!A184</f>
        <v>Pike</v>
      </c>
      <c r="T364" t="str">
        <f>'HAULING RATES- ODOT Locations'!B184</f>
        <v>5591 Wakefield Mound Rd. Piketon, OH 45661</v>
      </c>
      <c r="U364" t="str">
        <f>'HAULING RATES- ODOT Locations'!D$8</f>
        <v>Slag</v>
      </c>
      <c r="V364" s="146">
        <f>'HAULING RATES- ODOT Locations'!D184</f>
        <v>0</v>
      </c>
      <c r="W364" s="131" t="str">
        <f>+'Aggregate, Plant Pick-up'!$C$6</f>
        <v>LAFARGE-MARBLEHEAD "OSBORNE-CLEVELAND"</v>
      </c>
      <c r="X364" s="131" t="str">
        <f>+Plant_Information!$B$10</f>
        <v>04105-28</v>
      </c>
      <c r="Y364" s="131" t="str">
        <f>+Plant_Information!$B$11</f>
        <v>2100 CENTRAL FURNACE ROAD</v>
      </c>
      <c r="Z364" s="131" t="str">
        <f>+Plant_Information!$B$12</f>
        <v>CLEVELAND, OH, 44115</v>
      </c>
      <c r="AA364" s="131" t="str">
        <f>+Plant_Information!$B$13</f>
        <v>12</v>
      </c>
      <c r="AB364" s="131" t="str">
        <f>+Plant_Information!$B$14</f>
        <v>CUY</v>
      </c>
      <c r="AC364" s="70"/>
    </row>
    <row r="365" spans="17:29" x14ac:dyDescent="0.2">
      <c r="Q365" t="str">
        <f>Plant_Information!$B$6</f>
        <v>(INSERT VENDOR NAME HERE)</v>
      </c>
      <c r="R365" t="str">
        <f>'HAULING RATES- ODOT Locations'!$A$171</f>
        <v>District 9</v>
      </c>
      <c r="S365" t="str">
        <f>'HAULING RATES- ODOT Locations'!A185</f>
        <v>Ross</v>
      </c>
      <c r="T365" t="str">
        <f>'HAULING RATES- ODOT Locations'!B185</f>
        <v>255 Larrick Lane Chillicothe, OH 45601</v>
      </c>
      <c r="U365" t="str">
        <f>'HAULING RATES- ODOT Locations'!D$8</f>
        <v>Slag</v>
      </c>
      <c r="V365" s="146">
        <f>'HAULING RATES- ODOT Locations'!D185</f>
        <v>0</v>
      </c>
      <c r="W365" s="131" t="str">
        <f>+'Aggregate, Plant Pick-up'!$C$6</f>
        <v>LAFARGE-MARBLEHEAD "OSBORNE-CLEVELAND"</v>
      </c>
      <c r="X365" s="131" t="str">
        <f>+Plant_Information!$B$10</f>
        <v>04105-28</v>
      </c>
      <c r="Y365" s="131" t="str">
        <f>+Plant_Information!$B$11</f>
        <v>2100 CENTRAL FURNACE ROAD</v>
      </c>
      <c r="Z365" s="131" t="str">
        <f>+Plant_Information!$B$12</f>
        <v>CLEVELAND, OH, 44115</v>
      </c>
      <c r="AA365" s="131" t="str">
        <f>+Plant_Information!$B$13</f>
        <v>12</v>
      </c>
      <c r="AB365" s="131" t="str">
        <f>+Plant_Information!$B$14</f>
        <v>CUY</v>
      </c>
      <c r="AC365" s="70"/>
    </row>
    <row r="366" spans="17:29" x14ac:dyDescent="0.2">
      <c r="Q366" t="str">
        <f>Plant_Information!$B$6</f>
        <v>(INSERT VENDOR NAME HERE)</v>
      </c>
      <c r="R366" t="str">
        <f>'HAULING RATES- ODOT Locations'!$A$171</f>
        <v>District 9</v>
      </c>
      <c r="S366" t="str">
        <f>'HAULING RATES- ODOT Locations'!A186</f>
        <v>Scioto</v>
      </c>
      <c r="T366" t="str">
        <f>'HAULING RATES- ODOT Locations'!B186</f>
        <v>9187 U.S. 23 Lucasville, OH 45648</v>
      </c>
      <c r="U366" t="str">
        <f>'HAULING RATES- ODOT Locations'!D$8</f>
        <v>Slag</v>
      </c>
      <c r="V366" s="146">
        <f>'HAULING RATES- ODOT Locations'!D186</f>
        <v>0</v>
      </c>
      <c r="W366" s="131" t="str">
        <f>+'Aggregate, Plant Pick-up'!$C$6</f>
        <v>LAFARGE-MARBLEHEAD "OSBORNE-CLEVELAND"</v>
      </c>
      <c r="X366" s="131" t="str">
        <f>+Plant_Information!$B$10</f>
        <v>04105-28</v>
      </c>
      <c r="Y366" s="131" t="str">
        <f>+Plant_Information!$B$11</f>
        <v>2100 CENTRAL FURNACE ROAD</v>
      </c>
      <c r="Z366" s="131" t="str">
        <f>+Plant_Information!$B$12</f>
        <v>CLEVELAND, OH, 44115</v>
      </c>
      <c r="AA366" s="131" t="str">
        <f>+Plant_Information!$B$13</f>
        <v>12</v>
      </c>
      <c r="AB366" s="131" t="str">
        <f>+Plant_Information!$B$14</f>
        <v>CUY</v>
      </c>
      <c r="AC366" s="70"/>
    </row>
    <row r="367" spans="17:29" x14ac:dyDescent="0.2">
      <c r="Q367" t="str">
        <f>Plant_Information!$B$6</f>
        <v>(INSERT VENDOR NAME HERE)</v>
      </c>
      <c r="R367" t="str">
        <f>'HAULING RATES- ODOT Locations'!$A$171</f>
        <v>District 9</v>
      </c>
      <c r="S367" t="str">
        <f>'HAULING RATES- ODOT Locations'!A187</f>
        <v>Scioto</v>
      </c>
      <c r="T367" t="str">
        <f>'HAULING RATES- ODOT Locations'!B187</f>
        <v>14 Hayport Rd. Wheelersburg, OH 45694</v>
      </c>
      <c r="U367" t="str">
        <f>'HAULING RATES- ODOT Locations'!D$8</f>
        <v>Slag</v>
      </c>
      <c r="V367" s="146">
        <f>'HAULING RATES- ODOT Locations'!D187</f>
        <v>0</v>
      </c>
      <c r="W367" s="131" t="str">
        <f>+'Aggregate, Plant Pick-up'!$C$6</f>
        <v>LAFARGE-MARBLEHEAD "OSBORNE-CLEVELAND"</v>
      </c>
      <c r="X367" s="131" t="str">
        <f>+Plant_Information!$B$10</f>
        <v>04105-28</v>
      </c>
      <c r="Y367" s="131" t="str">
        <f>+Plant_Information!$B$11</f>
        <v>2100 CENTRAL FURNACE ROAD</v>
      </c>
      <c r="Z367" s="131" t="str">
        <f>+Plant_Information!$B$12</f>
        <v>CLEVELAND, OH, 44115</v>
      </c>
      <c r="AA367" s="131" t="str">
        <f>+Plant_Information!$B$13</f>
        <v>12</v>
      </c>
      <c r="AB367" s="131" t="str">
        <f>+Plant_Information!$B$14</f>
        <v>CUY</v>
      </c>
      <c r="AC367" s="70"/>
    </row>
    <row r="368" spans="17:29" x14ac:dyDescent="0.2">
      <c r="Q368" t="str">
        <f>Plant_Information!$B$6</f>
        <v>(INSERT VENDOR NAME HERE)</v>
      </c>
      <c r="R368" t="str">
        <f>'HAULING RATES- ODOT Locations'!$A$188</f>
        <v>District 10</v>
      </c>
      <c r="S368" t="str">
        <f>'HAULING RATES- ODOT Locations'!A191</f>
        <v>Athens</v>
      </c>
      <c r="T368" t="str">
        <f>'HAULING RATES- ODOT Locations'!B191</f>
        <v>700 West Union St. (SR 56), Athens, OH 45701</v>
      </c>
      <c r="U368" t="str">
        <f>'HAULING RATES- ODOT Locations'!D$8</f>
        <v>Slag</v>
      </c>
      <c r="V368" s="146">
        <f>'HAULING RATES- ODOT Locations'!D191</f>
        <v>0</v>
      </c>
      <c r="W368" s="131" t="str">
        <f>+'Aggregate, Plant Pick-up'!$C$6</f>
        <v>LAFARGE-MARBLEHEAD "OSBORNE-CLEVELAND"</v>
      </c>
      <c r="X368" s="131" t="str">
        <f>+Plant_Information!$B$10</f>
        <v>04105-28</v>
      </c>
      <c r="Y368" s="131" t="str">
        <f>+Plant_Information!$B$11</f>
        <v>2100 CENTRAL FURNACE ROAD</v>
      </c>
      <c r="Z368" s="131" t="str">
        <f>+Plant_Information!$B$12</f>
        <v>CLEVELAND, OH, 44115</v>
      </c>
      <c r="AA368" s="131" t="str">
        <f>+Plant_Information!$B$13</f>
        <v>12</v>
      </c>
      <c r="AB368" s="131" t="str">
        <f>+Plant_Information!$B$14</f>
        <v>CUY</v>
      </c>
      <c r="AC368" s="70"/>
    </row>
    <row r="369" spans="17:29" x14ac:dyDescent="0.2">
      <c r="Q369" t="str">
        <f>Plant_Information!$B$6</f>
        <v>(INSERT VENDOR NAME HERE)</v>
      </c>
      <c r="R369" t="str">
        <f>'HAULING RATES- ODOT Locations'!$A$188</f>
        <v>District 10</v>
      </c>
      <c r="S369" t="str">
        <f>'HAULING RATES- ODOT Locations'!A192</f>
        <v>Athens</v>
      </c>
      <c r="T369" t="str">
        <f>'HAULING RATES- ODOT Locations'!B192</f>
        <v>8411 State Route 78, Glouster, OH 45732</v>
      </c>
      <c r="U369" t="str">
        <f>'HAULING RATES- ODOT Locations'!D$8</f>
        <v>Slag</v>
      </c>
      <c r="V369" s="146">
        <f>'HAULING RATES- ODOT Locations'!D192</f>
        <v>0</v>
      </c>
      <c r="W369" s="131" t="str">
        <f>+'Aggregate, Plant Pick-up'!$C$6</f>
        <v>LAFARGE-MARBLEHEAD "OSBORNE-CLEVELAND"</v>
      </c>
      <c r="X369" s="131" t="str">
        <f>+Plant_Information!$B$10</f>
        <v>04105-28</v>
      </c>
      <c r="Y369" s="131" t="str">
        <f>+Plant_Information!$B$11</f>
        <v>2100 CENTRAL FURNACE ROAD</v>
      </c>
      <c r="Z369" s="131" t="str">
        <f>+Plant_Information!$B$12</f>
        <v>CLEVELAND, OH, 44115</v>
      </c>
      <c r="AA369" s="131" t="str">
        <f>+Plant_Information!$B$13</f>
        <v>12</v>
      </c>
      <c r="AB369" s="131" t="str">
        <f>+Plant_Information!$B$14</f>
        <v>CUY</v>
      </c>
      <c r="AC369" s="70"/>
    </row>
    <row r="370" spans="17:29" x14ac:dyDescent="0.2">
      <c r="Q370" t="str">
        <f>Plant_Information!$B$6</f>
        <v>(INSERT VENDOR NAME HERE)</v>
      </c>
      <c r="R370" t="str">
        <f>'HAULING RATES- ODOT Locations'!$A$188</f>
        <v>District 10</v>
      </c>
      <c r="S370" t="str">
        <f>'HAULING RATES- ODOT Locations'!A193</f>
        <v>Gallia</v>
      </c>
      <c r="T370" t="str">
        <f>'HAULING RATES- ODOT Locations'!B193</f>
        <v>2397 Jackson Pike (Jct. US 35 &amp; SR 160), Bidwell, OH 45614</v>
      </c>
      <c r="U370" t="str">
        <f>'HAULING RATES- ODOT Locations'!D$8</f>
        <v>Slag</v>
      </c>
      <c r="V370" s="146">
        <f>'HAULING RATES- ODOT Locations'!D193</f>
        <v>0</v>
      </c>
      <c r="W370" s="131" t="str">
        <f>+'Aggregate, Plant Pick-up'!$C$6</f>
        <v>LAFARGE-MARBLEHEAD "OSBORNE-CLEVELAND"</v>
      </c>
      <c r="X370" s="131" t="str">
        <f>+Plant_Information!$B$10</f>
        <v>04105-28</v>
      </c>
      <c r="Y370" s="131" t="str">
        <f>+Plant_Information!$B$11</f>
        <v>2100 CENTRAL FURNACE ROAD</v>
      </c>
      <c r="Z370" s="131" t="str">
        <f>+Plant_Information!$B$12</f>
        <v>CLEVELAND, OH, 44115</v>
      </c>
      <c r="AA370" s="131" t="str">
        <f>+Plant_Information!$B$13</f>
        <v>12</v>
      </c>
      <c r="AB370" s="131" t="str">
        <f>+Plant_Information!$B$14</f>
        <v>CUY</v>
      </c>
      <c r="AC370" s="70"/>
    </row>
    <row r="371" spans="17:29" x14ac:dyDescent="0.2">
      <c r="Q371" t="str">
        <f>Plant_Information!$B$6</f>
        <v>(INSERT VENDOR NAME HERE)</v>
      </c>
      <c r="R371" t="str">
        <f>'HAULING RATES- ODOT Locations'!$A$188</f>
        <v>District 10</v>
      </c>
      <c r="S371" t="str">
        <f>'HAULING RATES- ODOT Locations'!A194</f>
        <v>Hocking</v>
      </c>
      <c r="T371" t="str">
        <f>'HAULING RATES- ODOT Locations'!B194</f>
        <v>13176 State Route 664 South, Logan, OH 43138</v>
      </c>
      <c r="U371" t="str">
        <f>'HAULING RATES- ODOT Locations'!D$8</f>
        <v>Slag</v>
      </c>
      <c r="V371" s="146">
        <f>'HAULING RATES- ODOT Locations'!D194</f>
        <v>0</v>
      </c>
      <c r="W371" s="131" t="str">
        <f>+'Aggregate, Plant Pick-up'!$C$6</f>
        <v>LAFARGE-MARBLEHEAD "OSBORNE-CLEVELAND"</v>
      </c>
      <c r="X371" s="131" t="str">
        <f>+Plant_Information!$B$10</f>
        <v>04105-28</v>
      </c>
      <c r="Y371" s="131" t="str">
        <f>+Plant_Information!$B$11</f>
        <v>2100 CENTRAL FURNACE ROAD</v>
      </c>
      <c r="Z371" s="131" t="str">
        <f>+Plant_Information!$B$12</f>
        <v>CLEVELAND, OH, 44115</v>
      </c>
      <c r="AA371" s="131" t="str">
        <f>+Plant_Information!$B$13</f>
        <v>12</v>
      </c>
      <c r="AB371" s="131" t="str">
        <f>+Plant_Information!$B$14</f>
        <v>CUY</v>
      </c>
      <c r="AC371" s="70"/>
    </row>
    <row r="372" spans="17:29" x14ac:dyDescent="0.2">
      <c r="Q372" t="str">
        <f>Plant_Information!$B$6</f>
        <v>(INSERT VENDOR NAME HERE)</v>
      </c>
      <c r="R372" t="str">
        <f>'HAULING RATES- ODOT Locations'!$A$188</f>
        <v>District 10</v>
      </c>
      <c r="S372" t="str">
        <f>'HAULING RATES- ODOT Locations'!A195</f>
        <v>Hocking</v>
      </c>
      <c r="T372" t="str">
        <f>'HAULING RATES- ODOT Locations'!B195</f>
        <v>Laurelville OP, 16298 Pike Street, Laurelville, OH 43135</v>
      </c>
      <c r="U372" t="str">
        <f>'HAULING RATES- ODOT Locations'!D$8</f>
        <v>Slag</v>
      </c>
      <c r="V372" s="146">
        <f>'HAULING RATES- ODOT Locations'!D195</f>
        <v>0</v>
      </c>
      <c r="W372" s="131" t="str">
        <f>+'Aggregate, Plant Pick-up'!$C$6</f>
        <v>LAFARGE-MARBLEHEAD "OSBORNE-CLEVELAND"</v>
      </c>
      <c r="X372" s="131" t="str">
        <f>+Plant_Information!$B$10</f>
        <v>04105-28</v>
      </c>
      <c r="Y372" s="131" t="str">
        <f>+Plant_Information!$B$11</f>
        <v>2100 CENTRAL FURNACE ROAD</v>
      </c>
      <c r="Z372" s="131" t="str">
        <f>+Plant_Information!$B$12</f>
        <v>CLEVELAND, OH, 44115</v>
      </c>
      <c r="AA372" s="131" t="str">
        <f>+Plant_Information!$B$13</f>
        <v>12</v>
      </c>
      <c r="AB372" s="131" t="str">
        <f>+Plant_Information!$B$14</f>
        <v>CUY</v>
      </c>
      <c r="AC372" s="70"/>
    </row>
    <row r="373" spans="17:29" x14ac:dyDescent="0.2">
      <c r="Q373" t="str">
        <f>Plant_Information!$B$6</f>
        <v>(INSERT VENDOR NAME HERE)</v>
      </c>
      <c r="R373" t="str">
        <f>'HAULING RATES- ODOT Locations'!$A$188</f>
        <v>District 10</v>
      </c>
      <c r="S373" t="str">
        <f>'HAULING RATES- ODOT Locations'!A196</f>
        <v>Meigs</v>
      </c>
      <c r="T373" t="str">
        <f>'HAULING RATES- ODOT Locations'!B196</f>
        <v>Tuppers Plains OP, 42875 State Route 7, Coolville, OH 45723</v>
      </c>
      <c r="U373" t="str">
        <f>'HAULING RATES- ODOT Locations'!D$8</f>
        <v>Slag</v>
      </c>
      <c r="V373" s="146">
        <f>'HAULING RATES- ODOT Locations'!D196</f>
        <v>0</v>
      </c>
      <c r="W373" s="131" t="str">
        <f>+'Aggregate, Plant Pick-up'!$C$6</f>
        <v>LAFARGE-MARBLEHEAD "OSBORNE-CLEVELAND"</v>
      </c>
      <c r="X373" s="131" t="str">
        <f>+Plant_Information!$B$10</f>
        <v>04105-28</v>
      </c>
      <c r="Y373" s="131" t="str">
        <f>+Plant_Information!$B$11</f>
        <v>2100 CENTRAL FURNACE ROAD</v>
      </c>
      <c r="Z373" s="131" t="str">
        <f>+Plant_Information!$B$12</f>
        <v>CLEVELAND, OH, 44115</v>
      </c>
      <c r="AA373" s="131" t="str">
        <f>+Plant_Information!$B$13</f>
        <v>12</v>
      </c>
      <c r="AB373" s="131" t="str">
        <f>+Plant_Information!$B$14</f>
        <v>CUY</v>
      </c>
      <c r="AC373" s="70"/>
    </row>
    <row r="374" spans="17:29" x14ac:dyDescent="0.2">
      <c r="Q374" t="str">
        <f>Plant_Information!$B$6</f>
        <v>(INSERT VENDOR NAME HERE)</v>
      </c>
      <c r="R374" t="str">
        <f>'HAULING RATES- ODOT Locations'!$A$188</f>
        <v>District 10</v>
      </c>
      <c r="S374" t="str">
        <f>'HAULING RATES- ODOT Locations'!A197</f>
        <v>Meigs</v>
      </c>
      <c r="T374" t="str">
        <f>'HAULING RATES- ODOT Locations'!B197</f>
        <v>34449 SR 7, Pomeroy, OH 45769</v>
      </c>
      <c r="U374" t="str">
        <f>'HAULING RATES- ODOT Locations'!D$8</f>
        <v>Slag</v>
      </c>
      <c r="V374" s="146">
        <f>'HAULING RATES- ODOT Locations'!D197</f>
        <v>0</v>
      </c>
      <c r="W374" s="131" t="str">
        <f>+'Aggregate, Plant Pick-up'!$C$6</f>
        <v>LAFARGE-MARBLEHEAD "OSBORNE-CLEVELAND"</v>
      </c>
      <c r="X374" s="131" t="str">
        <f>+Plant_Information!$B$10</f>
        <v>04105-28</v>
      </c>
      <c r="Y374" s="131" t="str">
        <f>+Plant_Information!$B$11</f>
        <v>2100 CENTRAL FURNACE ROAD</v>
      </c>
      <c r="Z374" s="131" t="str">
        <f>+Plant_Information!$B$12</f>
        <v>CLEVELAND, OH, 44115</v>
      </c>
      <c r="AA374" s="131" t="str">
        <f>+Plant_Information!$B$13</f>
        <v>12</v>
      </c>
      <c r="AB374" s="131" t="str">
        <f>+Plant_Information!$B$14</f>
        <v>CUY</v>
      </c>
      <c r="AC374" s="70"/>
    </row>
    <row r="375" spans="17:29" x14ac:dyDescent="0.2">
      <c r="Q375" t="str">
        <f>Plant_Information!$B$6</f>
        <v>(INSERT VENDOR NAME HERE)</v>
      </c>
      <c r="R375" t="str">
        <f>'HAULING RATES- ODOT Locations'!$A$188</f>
        <v>District 10</v>
      </c>
      <c r="S375" t="str">
        <f>'HAULING RATES- ODOT Locations'!A198</f>
        <v>Monroe</v>
      </c>
      <c r="T375" t="str">
        <f>'HAULING RATES- ODOT Locations'!B198</f>
        <v>38986 State Route 7, Sardis, OH 43946</v>
      </c>
      <c r="U375" t="str">
        <f>'HAULING RATES- ODOT Locations'!D$8</f>
        <v>Slag</v>
      </c>
      <c r="V375" s="146">
        <f>'HAULING RATES- ODOT Locations'!D198</f>
        <v>0</v>
      </c>
      <c r="W375" s="131" t="str">
        <f>+'Aggregate, Plant Pick-up'!$C$6</f>
        <v>LAFARGE-MARBLEHEAD "OSBORNE-CLEVELAND"</v>
      </c>
      <c r="X375" s="131" t="str">
        <f>+Plant_Information!$B$10</f>
        <v>04105-28</v>
      </c>
      <c r="Y375" s="131" t="str">
        <f>+Plant_Information!$B$11</f>
        <v>2100 CENTRAL FURNACE ROAD</v>
      </c>
      <c r="Z375" s="131" t="str">
        <f>+Plant_Information!$B$12</f>
        <v>CLEVELAND, OH, 44115</v>
      </c>
      <c r="AA375" s="131" t="str">
        <f>+Plant_Information!$B$13</f>
        <v>12</v>
      </c>
      <c r="AB375" s="131" t="str">
        <f>+Plant_Information!$B$14</f>
        <v>CUY</v>
      </c>
      <c r="AC375" s="70"/>
    </row>
    <row r="376" spans="17:29" x14ac:dyDescent="0.2">
      <c r="Q376" t="str">
        <f>Plant_Information!$B$6</f>
        <v>(INSERT VENDOR NAME HERE)</v>
      </c>
      <c r="R376" t="str">
        <f>'HAULING RATES- ODOT Locations'!$A$188</f>
        <v>District 10</v>
      </c>
      <c r="S376" t="str">
        <f>'HAULING RATES- ODOT Locations'!A199</f>
        <v>Monroe</v>
      </c>
      <c r="T376" t="str">
        <f>'HAULING RATES- ODOT Locations'!B199</f>
        <v>47028 SR 26, Woodsfield, OH 43793</v>
      </c>
      <c r="U376" t="str">
        <f>'HAULING RATES- ODOT Locations'!D$8</f>
        <v>Slag</v>
      </c>
      <c r="V376" s="146">
        <f>'HAULING RATES- ODOT Locations'!D199</f>
        <v>0</v>
      </c>
      <c r="W376" s="131" t="str">
        <f>+'Aggregate, Plant Pick-up'!$C$6</f>
        <v>LAFARGE-MARBLEHEAD "OSBORNE-CLEVELAND"</v>
      </c>
      <c r="X376" s="131" t="str">
        <f>+Plant_Information!$B$10</f>
        <v>04105-28</v>
      </c>
      <c r="Y376" s="131" t="str">
        <f>+Plant_Information!$B$11</f>
        <v>2100 CENTRAL FURNACE ROAD</v>
      </c>
      <c r="Z376" s="131" t="str">
        <f>+Plant_Information!$B$12</f>
        <v>CLEVELAND, OH, 44115</v>
      </c>
      <c r="AA376" s="131" t="str">
        <f>+Plant_Information!$B$13</f>
        <v>12</v>
      </c>
      <c r="AB376" s="131" t="str">
        <f>+Plant_Information!$B$14</f>
        <v>CUY</v>
      </c>
      <c r="AC376" s="70"/>
    </row>
    <row r="377" spans="17:29" x14ac:dyDescent="0.2">
      <c r="Q377" t="str">
        <f>Plant_Information!$B$6</f>
        <v>(INSERT VENDOR NAME HERE)</v>
      </c>
      <c r="R377" t="str">
        <f>'HAULING RATES- ODOT Locations'!$A$188</f>
        <v>District 10</v>
      </c>
      <c r="S377" t="str">
        <f>'HAULING RATES- ODOT Locations'!A200</f>
        <v>Morgan</v>
      </c>
      <c r="T377" t="str">
        <f>'HAULING RATES- ODOT Locations'!B200</f>
        <v>4205 Monastery Rd., McConnelsville, OH 43756</v>
      </c>
      <c r="U377" t="str">
        <f>'HAULING RATES- ODOT Locations'!D$8</f>
        <v>Slag</v>
      </c>
      <c r="V377" s="146">
        <f>'HAULING RATES- ODOT Locations'!D200</f>
        <v>0</v>
      </c>
      <c r="W377" s="131" t="str">
        <f>+'Aggregate, Plant Pick-up'!$C$6</f>
        <v>LAFARGE-MARBLEHEAD "OSBORNE-CLEVELAND"</v>
      </c>
      <c r="X377" s="131" t="str">
        <f>+Plant_Information!$B$10</f>
        <v>04105-28</v>
      </c>
      <c r="Y377" s="131" t="str">
        <f>+Plant_Information!$B$11</f>
        <v>2100 CENTRAL FURNACE ROAD</v>
      </c>
      <c r="Z377" s="131" t="str">
        <f>+Plant_Information!$B$12</f>
        <v>CLEVELAND, OH, 44115</v>
      </c>
      <c r="AA377" s="131" t="str">
        <f>+Plant_Information!$B$13</f>
        <v>12</v>
      </c>
      <c r="AB377" s="131" t="str">
        <f>+Plant_Information!$B$14</f>
        <v>CUY</v>
      </c>
      <c r="AC377" s="70"/>
    </row>
    <row r="378" spans="17:29" x14ac:dyDescent="0.2">
      <c r="Q378" t="str">
        <f>Plant_Information!$B$6</f>
        <v>(INSERT VENDOR NAME HERE)</v>
      </c>
      <c r="R378" t="str">
        <f>'HAULING RATES- ODOT Locations'!$A$188</f>
        <v>District 10</v>
      </c>
      <c r="S378" t="str">
        <f>'HAULING RATES- ODOT Locations'!A201</f>
        <v>Noble</v>
      </c>
      <c r="T378" t="str">
        <f>'HAULING RATES- ODOT Locations'!B201</f>
        <v>17229 Hunkadora Road, Caldwell, OH 43724</v>
      </c>
      <c r="U378" t="str">
        <f>'HAULING RATES- ODOT Locations'!D$8</f>
        <v>Slag</v>
      </c>
      <c r="V378" s="146">
        <f>'HAULING RATES- ODOT Locations'!D201</f>
        <v>0</v>
      </c>
      <c r="W378" s="131" t="str">
        <f>+'Aggregate, Plant Pick-up'!$C$6</f>
        <v>LAFARGE-MARBLEHEAD "OSBORNE-CLEVELAND"</v>
      </c>
      <c r="X378" s="131" t="str">
        <f>+Plant_Information!$B$10</f>
        <v>04105-28</v>
      </c>
      <c r="Y378" s="131" t="str">
        <f>+Plant_Information!$B$11</f>
        <v>2100 CENTRAL FURNACE ROAD</v>
      </c>
      <c r="Z378" s="131" t="str">
        <f>+Plant_Information!$B$12</f>
        <v>CLEVELAND, OH, 44115</v>
      </c>
      <c r="AA378" s="131" t="str">
        <f>+Plant_Information!$B$13</f>
        <v>12</v>
      </c>
      <c r="AB378" s="131" t="str">
        <f>+Plant_Information!$B$14</f>
        <v>CUY</v>
      </c>
      <c r="AC378" s="70"/>
    </row>
    <row r="379" spans="17:29" x14ac:dyDescent="0.2">
      <c r="Q379" t="str">
        <f>Plant_Information!$B$6</f>
        <v>(INSERT VENDOR NAME HERE)</v>
      </c>
      <c r="R379" t="str">
        <f>'HAULING RATES- ODOT Locations'!$A$188</f>
        <v>District 10</v>
      </c>
      <c r="S379" t="str">
        <f>'HAULING RATES- ODOT Locations'!A202</f>
        <v>Noble</v>
      </c>
      <c r="T379" t="str">
        <f>'HAULING RATES- ODOT Locations'!B202</f>
        <v>48030 Outpost Road, Caldwell, OH 43724</v>
      </c>
      <c r="U379" t="str">
        <f>'HAULING RATES- ODOT Locations'!D$8</f>
        <v>Slag</v>
      </c>
      <c r="V379" s="146">
        <f>'HAULING RATES- ODOT Locations'!D202</f>
        <v>0</v>
      </c>
      <c r="W379" s="131" t="str">
        <f>+'Aggregate, Plant Pick-up'!$C$6</f>
        <v>LAFARGE-MARBLEHEAD "OSBORNE-CLEVELAND"</v>
      </c>
      <c r="X379" s="131" t="str">
        <f>+Plant_Information!$B$10</f>
        <v>04105-28</v>
      </c>
      <c r="Y379" s="131" t="str">
        <f>+Plant_Information!$B$11</f>
        <v>2100 CENTRAL FURNACE ROAD</v>
      </c>
      <c r="Z379" s="131" t="str">
        <f>+Plant_Information!$B$12</f>
        <v>CLEVELAND, OH, 44115</v>
      </c>
      <c r="AA379" s="131" t="str">
        <f>+Plant_Information!$B$13</f>
        <v>12</v>
      </c>
      <c r="AB379" s="131" t="str">
        <f>+Plant_Information!$B$14</f>
        <v>CUY</v>
      </c>
      <c r="AC379" s="70"/>
    </row>
    <row r="380" spans="17:29" x14ac:dyDescent="0.2">
      <c r="Q380" t="str">
        <f>Plant_Information!$B$6</f>
        <v>(INSERT VENDOR NAME HERE)</v>
      </c>
      <c r="R380" t="str">
        <f>'HAULING RATES- ODOT Locations'!$A$188</f>
        <v>District 10</v>
      </c>
      <c r="S380" t="str">
        <f>'HAULING RATES- ODOT Locations'!A203</f>
        <v>Vinton</v>
      </c>
      <c r="T380" t="str">
        <f>'HAULING RATES- ODOT Locations'!B203</f>
        <v>30931 State Route 93, McArthur, OH 45651</v>
      </c>
      <c r="U380" t="str">
        <f>'HAULING RATES- ODOT Locations'!D$8</f>
        <v>Slag</v>
      </c>
      <c r="V380" s="146">
        <f>'HAULING RATES- ODOT Locations'!D203</f>
        <v>0</v>
      </c>
      <c r="W380" s="131" t="str">
        <f>+'Aggregate, Plant Pick-up'!$C$6</f>
        <v>LAFARGE-MARBLEHEAD "OSBORNE-CLEVELAND"</v>
      </c>
      <c r="X380" s="131" t="str">
        <f>+Plant_Information!$B$10</f>
        <v>04105-28</v>
      </c>
      <c r="Y380" s="131" t="str">
        <f>+Plant_Information!$B$11</f>
        <v>2100 CENTRAL FURNACE ROAD</v>
      </c>
      <c r="Z380" s="131" t="str">
        <f>+Plant_Information!$B$12</f>
        <v>CLEVELAND, OH, 44115</v>
      </c>
      <c r="AA380" s="131" t="str">
        <f>+Plant_Information!$B$13</f>
        <v>12</v>
      </c>
      <c r="AB380" s="131" t="str">
        <f>+Plant_Information!$B$14</f>
        <v>CUY</v>
      </c>
      <c r="AC380" s="70"/>
    </row>
    <row r="381" spans="17:29" x14ac:dyDescent="0.2">
      <c r="Q381" t="str">
        <f>Plant_Information!$B$6</f>
        <v>(INSERT VENDOR NAME HERE)</v>
      </c>
      <c r="R381" t="str">
        <f>'HAULING RATES- ODOT Locations'!$A$188</f>
        <v>District 10</v>
      </c>
      <c r="S381" t="str">
        <f>'HAULING RATES- ODOT Locations'!A204</f>
        <v>Vinton</v>
      </c>
      <c r="T381" t="str">
        <f>'HAULING RATES- ODOT Locations'!B204</f>
        <v>43140 State Route 160, Wilkesville, OH 45695</v>
      </c>
      <c r="U381" t="str">
        <f>'HAULING RATES- ODOT Locations'!D$8</f>
        <v>Slag</v>
      </c>
      <c r="V381" s="146">
        <f>'HAULING RATES- ODOT Locations'!D204</f>
        <v>0</v>
      </c>
      <c r="W381" s="131" t="str">
        <f>+'Aggregate, Plant Pick-up'!$C$6</f>
        <v>LAFARGE-MARBLEHEAD "OSBORNE-CLEVELAND"</v>
      </c>
      <c r="X381" s="131" t="str">
        <f>+Plant_Information!$B$10</f>
        <v>04105-28</v>
      </c>
      <c r="Y381" s="131" t="str">
        <f>+Plant_Information!$B$11</f>
        <v>2100 CENTRAL FURNACE ROAD</v>
      </c>
      <c r="Z381" s="131" t="str">
        <f>+Plant_Information!$B$12</f>
        <v>CLEVELAND, OH, 44115</v>
      </c>
      <c r="AA381" s="131" t="str">
        <f>+Plant_Information!$B$13</f>
        <v>12</v>
      </c>
      <c r="AB381" s="131" t="str">
        <f>+Plant_Information!$B$14</f>
        <v>CUY</v>
      </c>
      <c r="AC381" s="70"/>
    </row>
    <row r="382" spans="17:29" x14ac:dyDescent="0.2">
      <c r="Q382" t="str">
        <f>Plant_Information!$B$6</f>
        <v>(INSERT VENDOR NAME HERE)</v>
      </c>
      <c r="R382" t="str">
        <f>'HAULING RATES- ODOT Locations'!$A$188</f>
        <v>District 10</v>
      </c>
      <c r="S382" t="str">
        <f>'HAULING RATES- ODOT Locations'!A205</f>
        <v>Washington</v>
      </c>
      <c r="T382" t="str">
        <f>'HAULING RATES- ODOT Locations'!B205</f>
        <v>1650 Greene St. (SR 26), Marietta, OH 45750</v>
      </c>
      <c r="U382" t="str">
        <f>'HAULING RATES- ODOT Locations'!D$8</f>
        <v>Slag</v>
      </c>
      <c r="V382" s="146">
        <f>'HAULING RATES- ODOT Locations'!D205</f>
        <v>0</v>
      </c>
      <c r="W382" s="131" t="str">
        <f>+'Aggregate, Plant Pick-up'!$C$6</f>
        <v>LAFARGE-MARBLEHEAD "OSBORNE-CLEVELAND"</v>
      </c>
      <c r="X382" s="131" t="str">
        <f>+Plant_Information!$B$10</f>
        <v>04105-28</v>
      </c>
      <c r="Y382" s="131" t="str">
        <f>+Plant_Information!$B$11</f>
        <v>2100 CENTRAL FURNACE ROAD</v>
      </c>
      <c r="Z382" s="131" t="str">
        <f>+Plant_Information!$B$12</f>
        <v>CLEVELAND, OH, 44115</v>
      </c>
      <c r="AA382" s="131" t="str">
        <f>+Plant_Information!$B$13</f>
        <v>12</v>
      </c>
      <c r="AB382" s="131" t="str">
        <f>+Plant_Information!$B$14</f>
        <v>CUY</v>
      </c>
      <c r="AC382" s="70"/>
    </row>
    <row r="383" spans="17:29" x14ac:dyDescent="0.2">
      <c r="Q383" t="str">
        <f>Plant_Information!$B$6</f>
        <v>(INSERT VENDOR NAME HERE)</v>
      </c>
      <c r="R383" t="str">
        <f>'HAULING RATES- ODOT Locations'!$A$188</f>
        <v>District 10</v>
      </c>
      <c r="S383" t="str">
        <f>'HAULING RATES- ODOT Locations'!A206</f>
        <v>Washington</v>
      </c>
      <c r="T383" t="str">
        <f>'HAULING RATES- ODOT Locations'!B206</f>
        <v>2504 SR 550, Cutler, OH 45724</v>
      </c>
      <c r="U383" t="str">
        <f>'HAULING RATES- ODOT Locations'!D$8</f>
        <v>Slag</v>
      </c>
      <c r="V383" s="146">
        <f>'HAULING RATES- ODOT Locations'!D206</f>
        <v>0</v>
      </c>
      <c r="W383" s="131" t="str">
        <f>+'Aggregate, Plant Pick-up'!$C$6</f>
        <v>LAFARGE-MARBLEHEAD "OSBORNE-CLEVELAND"</v>
      </c>
      <c r="X383" s="131" t="str">
        <f>+Plant_Information!$B$10</f>
        <v>04105-28</v>
      </c>
      <c r="Y383" s="131" t="str">
        <f>+Plant_Information!$B$11</f>
        <v>2100 CENTRAL FURNACE ROAD</v>
      </c>
      <c r="Z383" s="131" t="str">
        <f>+Plant_Information!$B$12</f>
        <v>CLEVELAND, OH, 44115</v>
      </c>
      <c r="AA383" s="131" t="str">
        <f>+Plant_Information!$B$13</f>
        <v>12</v>
      </c>
      <c r="AB383" s="131" t="str">
        <f>+Plant_Information!$B$14</f>
        <v>CUY</v>
      </c>
      <c r="AC383" s="70"/>
    </row>
    <row r="384" spans="17:29" x14ac:dyDescent="0.2">
      <c r="Q384" t="str">
        <f>Plant_Information!$B$6</f>
        <v>(INSERT VENDOR NAME HERE)</v>
      </c>
      <c r="R384" t="str">
        <f>'HAULING RATES- ODOT Locations'!$A$188</f>
        <v>District 10</v>
      </c>
      <c r="S384" t="str">
        <f>'HAULING RATES- ODOT Locations'!A207</f>
        <v>Washington</v>
      </c>
      <c r="T384" t="str">
        <f>'HAULING RATES- ODOT Locations'!B207</f>
        <v>Belpre OP, 399 SR 618, Belpre, OH 45714</v>
      </c>
      <c r="U384" t="str">
        <f>'HAULING RATES- ODOT Locations'!D$8</f>
        <v>Slag</v>
      </c>
      <c r="V384" s="146">
        <f>'HAULING RATES- ODOT Locations'!D207</f>
        <v>0</v>
      </c>
      <c r="W384" s="131" t="str">
        <f>+'Aggregate, Plant Pick-up'!$C$6</f>
        <v>LAFARGE-MARBLEHEAD "OSBORNE-CLEVELAND"</v>
      </c>
      <c r="X384" s="131" t="str">
        <f>+Plant_Information!$B$10</f>
        <v>04105-28</v>
      </c>
      <c r="Y384" s="131" t="str">
        <f>+Plant_Information!$B$11</f>
        <v>2100 CENTRAL FURNACE ROAD</v>
      </c>
      <c r="Z384" s="131" t="str">
        <f>+Plant_Information!$B$12</f>
        <v>CLEVELAND, OH, 44115</v>
      </c>
      <c r="AA384" s="131" t="str">
        <f>+Plant_Information!$B$13</f>
        <v>12</v>
      </c>
      <c r="AB384" s="131" t="str">
        <f>+Plant_Information!$B$14</f>
        <v>CUY</v>
      </c>
      <c r="AC384" s="70"/>
    </row>
    <row r="385" spans="17:29" x14ac:dyDescent="0.2">
      <c r="Q385" t="str">
        <f>Plant_Information!$B$6</f>
        <v>(INSERT VENDOR NAME HERE)</v>
      </c>
      <c r="R385" t="str">
        <f>'HAULING RATES- ODOT Locations'!$A$188</f>
        <v>District 10</v>
      </c>
      <c r="S385" t="str">
        <f>'HAULING RATES- ODOT Locations'!A208</f>
        <v>Washington</v>
      </c>
      <c r="T385" t="str">
        <f>'HAULING RATES- ODOT Locations'!B208</f>
        <v>20255 State Route 821, Dexter City, OH 45727</v>
      </c>
      <c r="U385" t="str">
        <f>'HAULING RATES- ODOT Locations'!D$8</f>
        <v>Slag</v>
      </c>
      <c r="V385" s="146">
        <f>'HAULING RATES- ODOT Locations'!D208</f>
        <v>0</v>
      </c>
      <c r="W385" s="131" t="str">
        <f>+'Aggregate, Plant Pick-up'!$C$6</f>
        <v>LAFARGE-MARBLEHEAD "OSBORNE-CLEVELAND"</v>
      </c>
      <c r="X385" s="131" t="str">
        <f>+Plant_Information!$B$10</f>
        <v>04105-28</v>
      </c>
      <c r="Y385" s="131" t="str">
        <f>+Plant_Information!$B$11</f>
        <v>2100 CENTRAL FURNACE ROAD</v>
      </c>
      <c r="Z385" s="131" t="str">
        <f>+Plant_Information!$B$12</f>
        <v>CLEVELAND, OH, 44115</v>
      </c>
      <c r="AA385" s="131" t="str">
        <f>+Plant_Information!$B$13</f>
        <v>12</v>
      </c>
      <c r="AB385" s="131" t="str">
        <f>+Plant_Information!$B$14</f>
        <v>CUY</v>
      </c>
      <c r="AC385" s="70"/>
    </row>
    <row r="386" spans="17:29" x14ac:dyDescent="0.2">
      <c r="Q386" t="str">
        <f>Plant_Information!$B$6</f>
        <v>(INSERT VENDOR NAME HERE)</v>
      </c>
      <c r="R386" t="str">
        <f>'HAULING RATES- ODOT Locations'!$A$209</f>
        <v>District 11</v>
      </c>
      <c r="S386" t="str">
        <f>'HAULING RATES- ODOT Locations'!A212</f>
        <v>Belmont</v>
      </c>
      <c r="T386" t="str">
        <f>'HAULING RATES- ODOT Locations'!B212</f>
        <v>41061 Bond Dr., Belmont, OH 43718</v>
      </c>
      <c r="U386" t="str">
        <f>'HAULING RATES- ODOT Locations'!D$8</f>
        <v>Slag</v>
      </c>
      <c r="V386" s="146">
        <f>'HAULING RATES- ODOT Locations'!D212</f>
        <v>0</v>
      </c>
      <c r="W386" s="131" t="str">
        <f>+'Aggregate, Plant Pick-up'!$C$6</f>
        <v>LAFARGE-MARBLEHEAD "OSBORNE-CLEVELAND"</v>
      </c>
      <c r="X386" s="131" t="str">
        <f>+Plant_Information!$B$10</f>
        <v>04105-28</v>
      </c>
      <c r="Y386" s="131" t="str">
        <f>+Plant_Information!$B$11</f>
        <v>2100 CENTRAL FURNACE ROAD</v>
      </c>
      <c r="Z386" s="131" t="str">
        <f>+Plant_Information!$B$12</f>
        <v>CLEVELAND, OH, 44115</v>
      </c>
      <c r="AA386" s="131" t="str">
        <f>+Plant_Information!$B$13</f>
        <v>12</v>
      </c>
      <c r="AB386" s="131" t="str">
        <f>+Plant_Information!$B$14</f>
        <v>CUY</v>
      </c>
      <c r="AC386" s="70"/>
    </row>
    <row r="387" spans="17:29" x14ac:dyDescent="0.2">
      <c r="Q387" t="str">
        <f>Plant_Information!$B$6</f>
        <v>(INSERT VENDOR NAME HERE)</v>
      </c>
      <c r="R387" t="str">
        <f>'HAULING RATES- ODOT Locations'!$A$209</f>
        <v>District 11</v>
      </c>
      <c r="S387" t="str">
        <f>'HAULING RATES- ODOT Locations'!A213</f>
        <v>Belmont</v>
      </c>
      <c r="T387" t="str">
        <f>'HAULING RATES- ODOT Locations'!B213</f>
        <v>49226 Wabash Ave., St. Clairsville, OH 43950</v>
      </c>
      <c r="U387" t="str">
        <f>'HAULING RATES- ODOT Locations'!D$8</f>
        <v>Slag</v>
      </c>
      <c r="V387" s="146">
        <f>'HAULING RATES- ODOT Locations'!D213</f>
        <v>0</v>
      </c>
      <c r="W387" s="131" t="str">
        <f>+'Aggregate, Plant Pick-up'!$C$6</f>
        <v>LAFARGE-MARBLEHEAD "OSBORNE-CLEVELAND"</v>
      </c>
      <c r="X387" s="131" t="str">
        <f>+Plant_Information!$B$10</f>
        <v>04105-28</v>
      </c>
      <c r="Y387" s="131" t="str">
        <f>+Plant_Information!$B$11</f>
        <v>2100 CENTRAL FURNACE ROAD</v>
      </c>
      <c r="Z387" s="131" t="str">
        <f>+Plant_Information!$B$12</f>
        <v>CLEVELAND, OH, 44115</v>
      </c>
      <c r="AA387" s="131" t="str">
        <f>+Plant_Information!$B$13</f>
        <v>12</v>
      </c>
      <c r="AB387" s="131" t="str">
        <f>+Plant_Information!$B$14</f>
        <v>CUY</v>
      </c>
      <c r="AC387" s="70"/>
    </row>
    <row r="388" spans="17:29" x14ac:dyDescent="0.2">
      <c r="Q388" t="str">
        <f>Plant_Information!$B$6</f>
        <v>(INSERT VENDOR NAME HERE)</v>
      </c>
      <c r="R388" t="str">
        <f>'HAULING RATES- ODOT Locations'!$A$209</f>
        <v>District 11</v>
      </c>
      <c r="S388" t="str">
        <f>'HAULING RATES- ODOT Locations'!A214</f>
        <v>Belmont</v>
      </c>
      <c r="T388" t="str">
        <f>'HAULING RATES- ODOT Locations'!B214</f>
        <v>36340 W. Captina Hwy., Barnesville, OH 43713</v>
      </c>
      <c r="U388" t="str">
        <f>'HAULING RATES- ODOT Locations'!D$8</f>
        <v>Slag</v>
      </c>
      <c r="V388" s="146">
        <f>'HAULING RATES- ODOT Locations'!D214</f>
        <v>0</v>
      </c>
      <c r="W388" s="131" t="str">
        <f>+'Aggregate, Plant Pick-up'!$C$6</f>
        <v>LAFARGE-MARBLEHEAD "OSBORNE-CLEVELAND"</v>
      </c>
      <c r="X388" s="131" t="str">
        <f>+Plant_Information!$B$10</f>
        <v>04105-28</v>
      </c>
      <c r="Y388" s="131" t="str">
        <f>+Plant_Information!$B$11</f>
        <v>2100 CENTRAL FURNACE ROAD</v>
      </c>
      <c r="Z388" s="131" t="str">
        <f>+Plant_Information!$B$12</f>
        <v>CLEVELAND, OH, 44115</v>
      </c>
      <c r="AA388" s="131" t="str">
        <f>+Plant_Information!$B$13</f>
        <v>12</v>
      </c>
      <c r="AB388" s="131" t="str">
        <f>+Plant_Information!$B$14</f>
        <v>CUY</v>
      </c>
      <c r="AC388" s="70"/>
    </row>
    <row r="389" spans="17:29" x14ac:dyDescent="0.2">
      <c r="Q389" t="str">
        <f>Plant_Information!$B$6</f>
        <v>(INSERT VENDOR NAME HERE)</v>
      </c>
      <c r="R389" t="str">
        <f>'HAULING RATES- ODOT Locations'!$A$209</f>
        <v>District 11</v>
      </c>
      <c r="S389" t="str">
        <f>'HAULING RATES- ODOT Locations'!A215</f>
        <v>Belmont</v>
      </c>
      <c r="T389" t="str">
        <f>'HAULING RATES- ODOT Locations'!B215</f>
        <v>56880 McGee Rd., Shadyside, OH 43947</v>
      </c>
      <c r="U389" t="str">
        <f>'HAULING RATES- ODOT Locations'!D$8</f>
        <v>Slag</v>
      </c>
      <c r="V389" s="146">
        <f>'HAULING RATES- ODOT Locations'!D215</f>
        <v>0</v>
      </c>
      <c r="W389" s="131" t="str">
        <f>+'Aggregate, Plant Pick-up'!$C$6</f>
        <v>LAFARGE-MARBLEHEAD "OSBORNE-CLEVELAND"</v>
      </c>
      <c r="X389" s="131" t="str">
        <f>+Plant_Information!$B$10</f>
        <v>04105-28</v>
      </c>
      <c r="Y389" s="131" t="str">
        <f>+Plant_Information!$B$11</f>
        <v>2100 CENTRAL FURNACE ROAD</v>
      </c>
      <c r="Z389" s="131" t="str">
        <f>+Plant_Information!$B$12</f>
        <v>CLEVELAND, OH, 44115</v>
      </c>
      <c r="AA389" s="131" t="str">
        <f>+Plant_Information!$B$13</f>
        <v>12</v>
      </c>
      <c r="AB389" s="131" t="str">
        <f>+Plant_Information!$B$14</f>
        <v>CUY</v>
      </c>
      <c r="AC389" s="70"/>
    </row>
    <row r="390" spans="17:29" x14ac:dyDescent="0.2">
      <c r="Q390" t="str">
        <f>Plant_Information!$B$6</f>
        <v>(INSERT VENDOR NAME HERE)</v>
      </c>
      <c r="R390" t="str">
        <f>'HAULING RATES- ODOT Locations'!$A$209</f>
        <v>District 11</v>
      </c>
      <c r="S390" t="str">
        <f>'HAULING RATES- ODOT Locations'!A216</f>
        <v>Carroll</v>
      </c>
      <c r="T390" t="str">
        <f>'HAULING RATES- ODOT Locations'!B216</f>
        <v>258 Kensington Rd., Carrollton, OH 44615</v>
      </c>
      <c r="U390" t="str">
        <f>'HAULING RATES- ODOT Locations'!D$8</f>
        <v>Slag</v>
      </c>
      <c r="V390" s="146">
        <f>'HAULING RATES- ODOT Locations'!D216</f>
        <v>0</v>
      </c>
      <c r="W390" s="131" t="str">
        <f>+'Aggregate, Plant Pick-up'!$C$6</f>
        <v>LAFARGE-MARBLEHEAD "OSBORNE-CLEVELAND"</v>
      </c>
      <c r="X390" s="131" t="str">
        <f>+Plant_Information!$B$10</f>
        <v>04105-28</v>
      </c>
      <c r="Y390" s="131" t="str">
        <f>+Plant_Information!$B$11</f>
        <v>2100 CENTRAL FURNACE ROAD</v>
      </c>
      <c r="Z390" s="131" t="str">
        <f>+Plant_Information!$B$12</f>
        <v>CLEVELAND, OH, 44115</v>
      </c>
      <c r="AA390" s="131" t="str">
        <f>+Plant_Information!$B$13</f>
        <v>12</v>
      </c>
      <c r="AB390" s="131" t="str">
        <f>+Plant_Information!$B$14</f>
        <v>CUY</v>
      </c>
      <c r="AC390" s="70"/>
    </row>
    <row r="391" spans="17:29" x14ac:dyDescent="0.2">
      <c r="Q391" t="str">
        <f>Plant_Information!$B$6</f>
        <v>(INSERT VENDOR NAME HERE)</v>
      </c>
      <c r="R391" t="str">
        <f>'HAULING RATES- ODOT Locations'!$A$209</f>
        <v>District 11</v>
      </c>
      <c r="S391" t="str">
        <f>'HAULING RATES- ODOT Locations'!A217</f>
        <v>Columbiana</v>
      </c>
      <c r="T391" t="str">
        <f>'HAULING RATES- ODOT Locations'!B217</f>
        <v>33606 US 30, Lisbon, OH 44432</v>
      </c>
      <c r="U391" t="str">
        <f>'HAULING RATES- ODOT Locations'!D$8</f>
        <v>Slag</v>
      </c>
      <c r="V391" s="146">
        <f>'HAULING RATES- ODOT Locations'!D217</f>
        <v>0</v>
      </c>
      <c r="W391" s="131" t="str">
        <f>+'Aggregate, Plant Pick-up'!$C$6</f>
        <v>LAFARGE-MARBLEHEAD "OSBORNE-CLEVELAND"</v>
      </c>
      <c r="X391" s="131" t="str">
        <f>+Plant_Information!$B$10</f>
        <v>04105-28</v>
      </c>
      <c r="Y391" s="131" t="str">
        <f>+Plant_Information!$B$11</f>
        <v>2100 CENTRAL FURNACE ROAD</v>
      </c>
      <c r="Z391" s="131" t="str">
        <f>+Plant_Information!$B$12</f>
        <v>CLEVELAND, OH, 44115</v>
      </c>
      <c r="AA391" s="131" t="str">
        <f>+Plant_Information!$B$13</f>
        <v>12</v>
      </c>
      <c r="AB391" s="131" t="str">
        <f>+Plant_Information!$B$14</f>
        <v>CUY</v>
      </c>
      <c r="AC391" s="70"/>
    </row>
    <row r="392" spans="17:29" x14ac:dyDescent="0.2">
      <c r="Q392" t="str">
        <f>Plant_Information!$B$6</f>
        <v>(INSERT VENDOR NAME HERE)</v>
      </c>
      <c r="R392" t="str">
        <f>'HAULING RATES- ODOT Locations'!$A$209</f>
        <v>District 11</v>
      </c>
      <c r="S392" t="str">
        <f>'HAULING RATES- ODOT Locations'!A218</f>
        <v>Columbiana</v>
      </c>
      <c r="T392" t="str">
        <f>'HAULING RATES- ODOT Locations'!B218</f>
        <v>Apples Corners OP, 14745 Old Lincoln Hwy.,  East Liverpool, OH 43920</v>
      </c>
      <c r="U392" t="str">
        <f>'HAULING RATES- ODOT Locations'!D$8</f>
        <v>Slag</v>
      </c>
      <c r="V392" s="146">
        <f>'HAULING RATES- ODOT Locations'!D218</f>
        <v>0</v>
      </c>
      <c r="W392" s="131" t="str">
        <f>+'Aggregate, Plant Pick-up'!$C$6</f>
        <v>LAFARGE-MARBLEHEAD "OSBORNE-CLEVELAND"</v>
      </c>
      <c r="X392" s="131" t="str">
        <f>+Plant_Information!$B$10</f>
        <v>04105-28</v>
      </c>
      <c r="Y392" s="131" t="str">
        <f>+Plant_Information!$B$11</f>
        <v>2100 CENTRAL FURNACE ROAD</v>
      </c>
      <c r="Z392" s="131" t="str">
        <f>+Plant_Information!$B$12</f>
        <v>CLEVELAND, OH, 44115</v>
      </c>
      <c r="AA392" s="131" t="str">
        <f>+Plant_Information!$B$13</f>
        <v>12</v>
      </c>
      <c r="AB392" s="131" t="str">
        <f>+Plant_Information!$B$14</f>
        <v>CUY</v>
      </c>
      <c r="AC392" s="70"/>
    </row>
    <row r="393" spans="17:29" x14ac:dyDescent="0.2">
      <c r="Q393" t="str">
        <f>Plant_Information!$B$6</f>
        <v>(INSERT VENDOR NAME HERE)</v>
      </c>
      <c r="R393" t="str">
        <f>'HAULING RATES- ODOT Locations'!$A$209</f>
        <v>District 11</v>
      </c>
      <c r="S393" t="str">
        <f>'HAULING RATES- ODOT Locations'!A219</f>
        <v>Columbiana</v>
      </c>
      <c r="T393" t="str">
        <f>'HAULING RATES- ODOT Locations'!B219</f>
        <v>Unity OP, 2099 SR 165, East Palestine, OH 44413</v>
      </c>
      <c r="U393" t="str">
        <f>'HAULING RATES- ODOT Locations'!D$8</f>
        <v>Slag</v>
      </c>
      <c r="V393" s="146">
        <f>'HAULING RATES- ODOT Locations'!D219</f>
        <v>0</v>
      </c>
      <c r="W393" s="131" t="str">
        <f>+'Aggregate, Plant Pick-up'!$C$6</f>
        <v>LAFARGE-MARBLEHEAD "OSBORNE-CLEVELAND"</v>
      </c>
      <c r="X393" s="131" t="str">
        <f>+Plant_Information!$B$10</f>
        <v>04105-28</v>
      </c>
      <c r="Y393" s="131" t="str">
        <f>+Plant_Information!$B$11</f>
        <v>2100 CENTRAL FURNACE ROAD</v>
      </c>
      <c r="Z393" s="131" t="str">
        <f>+Plant_Information!$B$12</f>
        <v>CLEVELAND, OH, 44115</v>
      </c>
      <c r="AA393" s="131" t="str">
        <f>+Plant_Information!$B$13</f>
        <v>12</v>
      </c>
      <c r="AB393" s="131" t="str">
        <f>+Plant_Information!$B$14</f>
        <v>CUY</v>
      </c>
      <c r="AC393" s="70"/>
    </row>
    <row r="394" spans="17:29" x14ac:dyDescent="0.2">
      <c r="Q394" t="str">
        <f>Plant_Information!$B$6</f>
        <v>(INSERT VENDOR NAME HERE)</v>
      </c>
      <c r="R394" t="str">
        <f>'HAULING RATES- ODOT Locations'!$A$209</f>
        <v>District 11</v>
      </c>
      <c r="S394" t="str">
        <f>'HAULING RATES- ODOT Locations'!A220</f>
        <v>Harrison</v>
      </c>
      <c r="T394" t="str">
        <f>'HAULING RATES- ODOT Locations'!B220</f>
        <v>Harrison Co. Gar., 43041 S. Industrial Park Rd.,Cadiz, OH 43907</v>
      </c>
      <c r="U394" t="str">
        <f>'HAULING RATES- ODOT Locations'!D$8</f>
        <v>Slag</v>
      </c>
      <c r="V394" s="146">
        <f>'HAULING RATES- ODOT Locations'!D220</f>
        <v>0</v>
      </c>
      <c r="W394" s="131" t="str">
        <f>+'Aggregate, Plant Pick-up'!$C$6</f>
        <v>LAFARGE-MARBLEHEAD "OSBORNE-CLEVELAND"</v>
      </c>
      <c r="X394" s="131" t="str">
        <f>+Plant_Information!$B$10</f>
        <v>04105-28</v>
      </c>
      <c r="Y394" s="131" t="str">
        <f>+Plant_Information!$B$11</f>
        <v>2100 CENTRAL FURNACE ROAD</v>
      </c>
      <c r="Z394" s="131" t="str">
        <f>+Plant_Information!$B$12</f>
        <v>CLEVELAND, OH, 44115</v>
      </c>
      <c r="AA394" s="131" t="str">
        <f>+Plant_Information!$B$13</f>
        <v>12</v>
      </c>
      <c r="AB394" s="131" t="str">
        <f>+Plant_Information!$B$14</f>
        <v>CUY</v>
      </c>
      <c r="AC394" s="70"/>
    </row>
    <row r="395" spans="17:29" x14ac:dyDescent="0.2">
      <c r="Q395" s="138" t="str">
        <f>Plant_Information!$B$6</f>
        <v>(INSERT VENDOR NAME HERE)</v>
      </c>
      <c r="R395" s="138" t="str">
        <f>'HAULING RATES- ODOT Locations'!$A$209</f>
        <v>District 11</v>
      </c>
      <c r="S395" s="138" t="str">
        <f>'HAULING RATES- ODOT Locations'!A221</f>
        <v>Harrison</v>
      </c>
      <c r="T395" s="138" t="str">
        <f>'HAULING RATES- ODOT Locations'!B221</f>
        <v>37201 Scio Bowerstown Rd, Scio OH 43988</v>
      </c>
      <c r="U395" s="138" t="str">
        <f>'HAULING RATES- ODOT Locations'!D$8</f>
        <v>Slag</v>
      </c>
      <c r="V395" s="146">
        <f>'HAULING RATES- ODOT Locations'!D221</f>
        <v>0</v>
      </c>
      <c r="W395" s="141" t="str">
        <f>+'Aggregate, Plant Pick-up'!$C$6</f>
        <v>LAFARGE-MARBLEHEAD "OSBORNE-CLEVELAND"</v>
      </c>
      <c r="X395" s="141" t="str">
        <f>+Plant_Information!$B$10</f>
        <v>04105-28</v>
      </c>
      <c r="Y395" s="141" t="str">
        <f>+Plant_Information!$B$11</f>
        <v>2100 CENTRAL FURNACE ROAD</v>
      </c>
      <c r="Z395" s="141" t="str">
        <f>+Plant_Information!$B$12</f>
        <v>CLEVELAND, OH, 44115</v>
      </c>
      <c r="AA395" s="141" t="str">
        <f>+Plant_Information!$B$13</f>
        <v>12</v>
      </c>
      <c r="AB395" s="141" t="str">
        <f>+Plant_Information!$B$14</f>
        <v>CUY</v>
      </c>
      <c r="AC395" s="70"/>
    </row>
    <row r="396" spans="17:29" x14ac:dyDescent="0.2">
      <c r="Q396" t="str">
        <f>Plant_Information!$B$6</f>
        <v>(INSERT VENDOR NAME HERE)</v>
      </c>
      <c r="R396" t="str">
        <f>'HAULING RATES- ODOT Locations'!$A$209</f>
        <v>District 11</v>
      </c>
      <c r="S396" t="str">
        <f>'HAULING RATES- ODOT Locations'!A222</f>
        <v>Harrison</v>
      </c>
      <c r="T396" t="str">
        <f>'HAULING RATES- ODOT Locations'!B222</f>
        <v>76001 Smyrna Rd., Freeport, OH 43973</v>
      </c>
      <c r="U396" t="str">
        <f>'HAULING RATES- ODOT Locations'!D$8</f>
        <v>Slag</v>
      </c>
      <c r="V396" s="146">
        <f>'HAULING RATES- ODOT Locations'!D222</f>
        <v>0</v>
      </c>
      <c r="W396" s="131" t="str">
        <f>+'Aggregate, Plant Pick-up'!$C$6</f>
        <v>LAFARGE-MARBLEHEAD "OSBORNE-CLEVELAND"</v>
      </c>
      <c r="X396" s="131" t="str">
        <f>+Plant_Information!$B$10</f>
        <v>04105-28</v>
      </c>
      <c r="Y396" s="131" t="str">
        <f>+Plant_Information!$B$11</f>
        <v>2100 CENTRAL FURNACE ROAD</v>
      </c>
      <c r="Z396" s="131" t="str">
        <f>+Plant_Information!$B$12</f>
        <v>CLEVELAND, OH, 44115</v>
      </c>
      <c r="AA396" s="131" t="str">
        <f>+Plant_Information!$B$13</f>
        <v>12</v>
      </c>
      <c r="AB396" s="131" t="str">
        <f>+Plant_Information!$B$14</f>
        <v>CUY</v>
      </c>
      <c r="AC396" s="70"/>
    </row>
    <row r="397" spans="17:29" x14ac:dyDescent="0.2">
      <c r="Q397" t="str">
        <f>Plant_Information!$B$6</f>
        <v>(INSERT VENDOR NAME HERE)</v>
      </c>
      <c r="R397" t="str">
        <f>'HAULING RATES- ODOT Locations'!$A$209</f>
        <v>District 11</v>
      </c>
      <c r="S397" t="str">
        <f>'HAULING RATES- ODOT Locations'!A223</f>
        <v>Holmes</v>
      </c>
      <c r="T397" t="str">
        <f>'HAULING RATES- ODOT Locations'!B223</f>
        <v>1800 S. Washington St., Millersburg, OH 44654</v>
      </c>
      <c r="U397" t="str">
        <f>'HAULING RATES- ODOT Locations'!D$8</f>
        <v>Slag</v>
      </c>
      <c r="V397" s="146">
        <f>'HAULING RATES- ODOT Locations'!D223</f>
        <v>0</v>
      </c>
      <c r="W397" s="131" t="str">
        <f>+'Aggregate, Plant Pick-up'!$C$6</f>
        <v>LAFARGE-MARBLEHEAD "OSBORNE-CLEVELAND"</v>
      </c>
      <c r="X397" s="131" t="str">
        <f>+Plant_Information!$B$10</f>
        <v>04105-28</v>
      </c>
      <c r="Y397" s="131" t="str">
        <f>+Plant_Information!$B$11</f>
        <v>2100 CENTRAL FURNACE ROAD</v>
      </c>
      <c r="Z397" s="131" t="str">
        <f>+Plant_Information!$B$12</f>
        <v>CLEVELAND, OH, 44115</v>
      </c>
      <c r="AA397" s="131" t="str">
        <f>+Plant_Information!$B$13</f>
        <v>12</v>
      </c>
      <c r="AB397" s="131" t="str">
        <f>+Plant_Information!$B$14</f>
        <v>CUY</v>
      </c>
      <c r="AC397" s="70"/>
    </row>
    <row r="398" spans="17:29" x14ac:dyDescent="0.2">
      <c r="Q398" t="str">
        <f>Plant_Information!$B$6</f>
        <v>(INSERT VENDOR NAME HERE)</v>
      </c>
      <c r="R398" t="str">
        <f>'HAULING RATES- ODOT Locations'!$A$209</f>
        <v>District 11</v>
      </c>
      <c r="S398" t="str">
        <f>'HAULING RATES- ODOT Locations'!A224</f>
        <v>Holmes</v>
      </c>
      <c r="T398" t="str">
        <f>'HAULING RATES- ODOT Locations'!B224</f>
        <v>Nashville OP, 14785 SR 39, Lakeville, OH 44638</v>
      </c>
      <c r="U398" t="str">
        <f>'HAULING RATES- ODOT Locations'!D$8</f>
        <v>Slag</v>
      </c>
      <c r="V398" s="146">
        <f>'HAULING RATES- ODOT Locations'!D224</f>
        <v>0</v>
      </c>
      <c r="W398" s="131" t="str">
        <f>+'Aggregate, Plant Pick-up'!$C$6</f>
        <v>LAFARGE-MARBLEHEAD "OSBORNE-CLEVELAND"</v>
      </c>
      <c r="X398" s="131" t="str">
        <f>+Plant_Information!$B$10</f>
        <v>04105-28</v>
      </c>
      <c r="Y398" s="131" t="str">
        <f>+Plant_Information!$B$11</f>
        <v>2100 CENTRAL FURNACE ROAD</v>
      </c>
      <c r="Z398" s="131" t="str">
        <f>+Plant_Information!$B$12</f>
        <v>CLEVELAND, OH, 44115</v>
      </c>
      <c r="AA398" s="131" t="str">
        <f>+Plant_Information!$B$13</f>
        <v>12</v>
      </c>
      <c r="AB398" s="131" t="str">
        <f>+Plant_Information!$B$14</f>
        <v>CUY</v>
      </c>
      <c r="AC398" s="70"/>
    </row>
    <row r="399" spans="17:29" x14ac:dyDescent="0.2">
      <c r="Q399" t="str">
        <f>Plant_Information!$B$6</f>
        <v>(INSERT VENDOR NAME HERE)</v>
      </c>
      <c r="R399" t="str">
        <f>'HAULING RATES- ODOT Locations'!$A$209</f>
        <v>District 11</v>
      </c>
      <c r="S399" t="str">
        <f>'HAULING RATES- ODOT Locations'!A225</f>
        <v>Jefferson</v>
      </c>
      <c r="T399" t="str">
        <f>'HAULING RATES- ODOT Locations'!B225</f>
        <v>575 CR 43, Steubenville, OH 43952</v>
      </c>
      <c r="U399" t="str">
        <f>'HAULING RATES- ODOT Locations'!D$8</f>
        <v>Slag</v>
      </c>
      <c r="V399" s="146">
        <f>'HAULING RATES- ODOT Locations'!D225</f>
        <v>0</v>
      </c>
      <c r="W399" s="131" t="str">
        <f>+'Aggregate, Plant Pick-up'!$C$6</f>
        <v>LAFARGE-MARBLEHEAD "OSBORNE-CLEVELAND"</v>
      </c>
      <c r="X399" s="131" t="str">
        <f>+Plant_Information!$B$10</f>
        <v>04105-28</v>
      </c>
      <c r="Y399" s="131" t="str">
        <f>+Plant_Information!$B$11</f>
        <v>2100 CENTRAL FURNACE ROAD</v>
      </c>
      <c r="Z399" s="131" t="str">
        <f>+Plant_Information!$B$12</f>
        <v>CLEVELAND, OH, 44115</v>
      </c>
      <c r="AA399" s="131" t="str">
        <f>+Plant_Information!$B$13</f>
        <v>12</v>
      </c>
      <c r="AB399" s="131" t="str">
        <f>+Plant_Information!$B$14</f>
        <v>CUY</v>
      </c>
      <c r="AC399" s="70"/>
    </row>
    <row r="400" spans="17:29" x14ac:dyDescent="0.2">
      <c r="Q400" t="str">
        <f>Plant_Information!$B$6</f>
        <v>(INSERT VENDOR NAME HERE)</v>
      </c>
      <c r="R400" t="str">
        <f>'HAULING RATES- ODOT Locations'!$A$209</f>
        <v>District 11</v>
      </c>
      <c r="S400" t="str">
        <f>'HAULING RATES- ODOT Locations'!A226</f>
        <v>Jefferson</v>
      </c>
      <c r="T400" t="str">
        <f>'HAULING RATES- ODOT Locations'!B226</f>
        <v>940 Kingsdale Rd., Steubenville, OH 43952</v>
      </c>
      <c r="U400" t="str">
        <f>'HAULING RATES- ODOT Locations'!D$8</f>
        <v>Slag</v>
      </c>
      <c r="V400" s="146">
        <f>'HAULING RATES- ODOT Locations'!D226</f>
        <v>0</v>
      </c>
      <c r="W400" s="131" t="str">
        <f>+'Aggregate, Plant Pick-up'!$C$6</f>
        <v>LAFARGE-MARBLEHEAD "OSBORNE-CLEVELAND"</v>
      </c>
      <c r="X400" s="131" t="str">
        <f>+Plant_Information!$B$10</f>
        <v>04105-28</v>
      </c>
      <c r="Y400" s="131" t="str">
        <f>+Plant_Information!$B$11</f>
        <v>2100 CENTRAL FURNACE ROAD</v>
      </c>
      <c r="Z400" s="131" t="str">
        <f>+Plant_Information!$B$12</f>
        <v>CLEVELAND, OH, 44115</v>
      </c>
      <c r="AA400" s="131" t="str">
        <f>+Plant_Information!$B$13</f>
        <v>12</v>
      </c>
      <c r="AB400" s="131" t="str">
        <f>+Plant_Information!$B$14</f>
        <v>CUY</v>
      </c>
      <c r="AC400" s="70"/>
    </row>
    <row r="401" spans="17:29" x14ac:dyDescent="0.2">
      <c r="Q401" t="str">
        <f>Plant_Information!$B$6</f>
        <v>(INSERT VENDOR NAME HERE)</v>
      </c>
      <c r="R401" t="str">
        <f>'HAULING RATES- ODOT Locations'!$A$209</f>
        <v>District 11</v>
      </c>
      <c r="S401" t="str">
        <f>'HAULING RATES- ODOT Locations'!A227</f>
        <v>Jefferson</v>
      </c>
      <c r="T401" t="str">
        <f>'HAULING RATES- ODOT Locations'!B227</f>
        <v>4735 State Rt. 150, Dillonvale, OH 43917</v>
      </c>
      <c r="U401" t="str">
        <f>'HAULING RATES- ODOT Locations'!D$8</f>
        <v>Slag</v>
      </c>
      <c r="V401" s="146">
        <f>'HAULING RATES- ODOT Locations'!D227</f>
        <v>0</v>
      </c>
      <c r="W401" s="131" t="str">
        <f>+'Aggregate, Plant Pick-up'!$C$6</f>
        <v>LAFARGE-MARBLEHEAD "OSBORNE-CLEVELAND"</v>
      </c>
      <c r="X401" s="131" t="str">
        <f>+Plant_Information!$B$10</f>
        <v>04105-28</v>
      </c>
      <c r="Y401" s="131" t="str">
        <f>+Plant_Information!$B$11</f>
        <v>2100 CENTRAL FURNACE ROAD</v>
      </c>
      <c r="Z401" s="131" t="str">
        <f>+Plant_Information!$B$12</f>
        <v>CLEVELAND, OH, 44115</v>
      </c>
      <c r="AA401" s="131" t="str">
        <f>+Plant_Information!$B$13</f>
        <v>12</v>
      </c>
      <c r="AB401" s="131" t="str">
        <f>+Plant_Information!$B$14</f>
        <v>CUY</v>
      </c>
      <c r="AC401" s="70"/>
    </row>
    <row r="402" spans="17:29" x14ac:dyDescent="0.2">
      <c r="Q402" t="str">
        <f>Plant_Information!$B$6</f>
        <v>(INSERT VENDOR NAME HERE)</v>
      </c>
      <c r="R402" t="str">
        <f>'HAULING RATES- ODOT Locations'!$A$209</f>
        <v>District 11</v>
      </c>
      <c r="S402" t="str">
        <f>'HAULING RATES- ODOT Locations'!A228</f>
        <v>Jefferson</v>
      </c>
      <c r="T402" t="str">
        <f>'HAULING RATES- ODOT Locations'!B228</f>
        <v>7876 State Rt. 164, Bergholz, OH 43908</v>
      </c>
      <c r="U402" t="str">
        <f>'HAULING RATES- ODOT Locations'!D$8</f>
        <v>Slag</v>
      </c>
      <c r="V402" s="146">
        <f>'HAULING RATES- ODOT Locations'!D228</f>
        <v>0</v>
      </c>
      <c r="W402" s="131" t="str">
        <f>+'Aggregate, Plant Pick-up'!$C$6</f>
        <v>LAFARGE-MARBLEHEAD "OSBORNE-CLEVELAND"</v>
      </c>
      <c r="X402" s="131" t="str">
        <f>+Plant_Information!$B$10</f>
        <v>04105-28</v>
      </c>
      <c r="Y402" s="131" t="str">
        <f>+Plant_Information!$B$11</f>
        <v>2100 CENTRAL FURNACE ROAD</v>
      </c>
      <c r="Z402" s="131" t="str">
        <f>+Plant_Information!$B$12</f>
        <v>CLEVELAND, OH, 44115</v>
      </c>
      <c r="AA402" s="131" t="str">
        <f>+Plant_Information!$B$13</f>
        <v>12</v>
      </c>
      <c r="AB402" s="131" t="str">
        <f>+Plant_Information!$B$14</f>
        <v>CUY</v>
      </c>
      <c r="AC402" s="70"/>
    </row>
    <row r="403" spans="17:29" x14ac:dyDescent="0.2">
      <c r="Q403" t="str">
        <f>Plant_Information!$B$6</f>
        <v>(INSERT VENDOR NAME HERE)</v>
      </c>
      <c r="R403" t="str">
        <f>'HAULING RATES- ODOT Locations'!$A$209</f>
        <v>District 11</v>
      </c>
      <c r="S403" t="str">
        <f>'HAULING RATES- ODOT Locations'!A229</f>
        <v>Tuscarawas</v>
      </c>
      <c r="T403" t="str">
        <f>'HAULING RATES- ODOT Locations'!B229</f>
        <v>384 Stonecreek Rd. SE, New Philadelphia, OH 44663</v>
      </c>
      <c r="U403" t="str">
        <f>'HAULING RATES- ODOT Locations'!D$8</f>
        <v>Slag</v>
      </c>
      <c r="V403" s="146">
        <f>'HAULING RATES- ODOT Locations'!D229</f>
        <v>0</v>
      </c>
      <c r="W403" s="131" t="str">
        <f>+'Aggregate, Plant Pick-up'!$C$6</f>
        <v>LAFARGE-MARBLEHEAD "OSBORNE-CLEVELAND"</v>
      </c>
      <c r="X403" s="131" t="str">
        <f>+Plant_Information!$B$10</f>
        <v>04105-28</v>
      </c>
      <c r="Y403" s="131" t="str">
        <f>+Plant_Information!$B$11</f>
        <v>2100 CENTRAL FURNACE ROAD</v>
      </c>
      <c r="Z403" s="131" t="str">
        <f>+Plant_Information!$B$12</f>
        <v>CLEVELAND, OH, 44115</v>
      </c>
      <c r="AA403" s="131" t="str">
        <f>+Plant_Information!$B$13</f>
        <v>12</v>
      </c>
      <c r="AB403" s="131" t="str">
        <f>+Plant_Information!$B$14</f>
        <v>CUY</v>
      </c>
      <c r="AC403" s="70"/>
    </row>
    <row r="404" spans="17:29" x14ac:dyDescent="0.2">
      <c r="Q404" t="str">
        <f>Plant_Information!$B$6</f>
        <v>(INSERT VENDOR NAME HERE)</v>
      </c>
      <c r="R404" t="str">
        <f>'HAULING RATES- ODOT Locations'!$A$209</f>
        <v>District 11</v>
      </c>
      <c r="S404" t="str">
        <f>'HAULING RATES- ODOT Locations'!A230</f>
        <v>Tuscarawas</v>
      </c>
      <c r="T404" t="str">
        <f>'HAULING RATES- ODOT Locations'!B230</f>
        <v>1763 Dover-Zoar Rd., Bolivar, OH 44612</v>
      </c>
      <c r="U404" t="str">
        <f>'HAULING RATES- ODOT Locations'!D$8</f>
        <v>Slag</v>
      </c>
      <c r="V404" s="146">
        <f>'HAULING RATES- ODOT Locations'!D230</f>
        <v>0</v>
      </c>
      <c r="W404" s="131" t="str">
        <f>+'Aggregate, Plant Pick-up'!$C$6</f>
        <v>LAFARGE-MARBLEHEAD "OSBORNE-CLEVELAND"</v>
      </c>
      <c r="X404" s="131" t="str">
        <f>+Plant_Information!$B$10</f>
        <v>04105-28</v>
      </c>
      <c r="Y404" s="131" t="str">
        <f>+Plant_Information!$B$11</f>
        <v>2100 CENTRAL FURNACE ROAD</v>
      </c>
      <c r="Z404" s="131" t="str">
        <f>+Plant_Information!$B$12</f>
        <v>CLEVELAND, OH, 44115</v>
      </c>
      <c r="AA404" s="131" t="str">
        <f>+Plant_Information!$B$13</f>
        <v>12</v>
      </c>
      <c r="AB404" s="131" t="str">
        <f>+Plant_Information!$B$14</f>
        <v>CUY</v>
      </c>
      <c r="AC404" s="70"/>
    </row>
    <row r="405" spans="17:29" x14ac:dyDescent="0.2">
      <c r="Q405" t="str">
        <f>Plant_Information!$B$6</f>
        <v>(INSERT VENDOR NAME HERE)</v>
      </c>
      <c r="R405" t="str">
        <f>'HAULING RATES- ODOT Locations'!$A$209</f>
        <v>District 11</v>
      </c>
      <c r="S405" t="str">
        <f>'HAULING RATES- ODOT Locations'!A231</f>
        <v>Tuscarawas</v>
      </c>
      <c r="T405" t="str">
        <f>'HAULING RATES- ODOT Locations'!B231</f>
        <v>600 N. College St., Newcomerstown, OH 43832</v>
      </c>
      <c r="U405" t="str">
        <f>'HAULING RATES- ODOT Locations'!D$8</f>
        <v>Slag</v>
      </c>
      <c r="V405" s="146">
        <f>'HAULING RATES- ODOT Locations'!D231</f>
        <v>0</v>
      </c>
      <c r="W405" s="131" t="str">
        <f>+'Aggregate, Plant Pick-up'!$C$6</f>
        <v>LAFARGE-MARBLEHEAD "OSBORNE-CLEVELAND"</v>
      </c>
      <c r="X405" s="131" t="str">
        <f>+Plant_Information!$B$10</f>
        <v>04105-28</v>
      </c>
      <c r="Y405" s="131" t="str">
        <f>+Plant_Information!$B$11</f>
        <v>2100 CENTRAL FURNACE ROAD</v>
      </c>
      <c r="Z405" s="131" t="str">
        <f>+Plant_Information!$B$12</f>
        <v>CLEVELAND, OH, 44115</v>
      </c>
      <c r="AA405" s="131" t="str">
        <f>+Plant_Information!$B$13</f>
        <v>12</v>
      </c>
      <c r="AB405" s="131" t="str">
        <f>+Plant_Information!$B$14</f>
        <v>CUY</v>
      </c>
      <c r="AC405" s="70"/>
    </row>
    <row r="406" spans="17:29" x14ac:dyDescent="0.2">
      <c r="Q406" t="str">
        <f>Plant_Information!$B$6</f>
        <v>(INSERT VENDOR NAME HERE)</v>
      </c>
      <c r="R406" t="str">
        <f>'HAULING RATES- ODOT Locations'!$A$209</f>
        <v>District 11</v>
      </c>
      <c r="S406" t="str">
        <f>'HAULING RATES- ODOT Locations'!A232</f>
        <v>Tuscarawas</v>
      </c>
      <c r="T406" t="str">
        <f>'HAULING RATES- ODOT Locations'!B232</f>
        <v>2201 Reiser Ave. SE, New Philadelphia, OH 44663</v>
      </c>
      <c r="U406" t="str">
        <f>'HAULING RATES- ODOT Locations'!D$8</f>
        <v>Slag</v>
      </c>
      <c r="V406" s="146">
        <f>'HAULING RATES- ODOT Locations'!D232</f>
        <v>0</v>
      </c>
      <c r="W406" s="131" t="str">
        <f>+'Aggregate, Plant Pick-up'!$C$6</f>
        <v>LAFARGE-MARBLEHEAD "OSBORNE-CLEVELAND"</v>
      </c>
      <c r="X406" s="131" t="str">
        <f>+Plant_Information!$B$10</f>
        <v>04105-28</v>
      </c>
      <c r="Y406" s="131" t="str">
        <f>+Plant_Information!$B$11</f>
        <v>2100 CENTRAL FURNACE ROAD</v>
      </c>
      <c r="Z406" s="131" t="str">
        <f>+Plant_Information!$B$12</f>
        <v>CLEVELAND, OH, 44115</v>
      </c>
      <c r="AA406" s="131" t="str">
        <f>+Plant_Information!$B$13</f>
        <v>12</v>
      </c>
      <c r="AB406" s="131" t="str">
        <f>+Plant_Information!$B$14</f>
        <v>CUY</v>
      </c>
      <c r="AC406" s="70"/>
    </row>
    <row r="407" spans="17:29" x14ac:dyDescent="0.2">
      <c r="Q407" t="str">
        <f>Plant_Information!$B$6</f>
        <v>(INSERT VENDOR NAME HERE)</v>
      </c>
      <c r="R407" t="str">
        <f>'HAULING RATES- ODOT Locations'!$A$233</f>
        <v>District 12</v>
      </c>
      <c r="S407" t="str">
        <f>'HAULING RATES- ODOT Locations'!A236</f>
        <v>Cuyahoga</v>
      </c>
      <c r="T407" t="str">
        <f>'HAULING RATES- ODOT Locations'!B236</f>
        <v>5430 Lake Ct., Cleveland, OH 44114</v>
      </c>
      <c r="U407" t="str">
        <f>'HAULING RATES- ODOT Locations'!D$8</f>
        <v>Slag</v>
      </c>
      <c r="V407" s="146">
        <f>'HAULING RATES- ODOT Locations'!D236</f>
        <v>0</v>
      </c>
      <c r="W407" s="131" t="str">
        <f>+'Aggregate, Plant Pick-up'!$C$6</f>
        <v>LAFARGE-MARBLEHEAD "OSBORNE-CLEVELAND"</v>
      </c>
      <c r="X407" s="131" t="str">
        <f>+Plant_Information!$B$10</f>
        <v>04105-28</v>
      </c>
      <c r="Y407" s="131" t="str">
        <f>+Plant_Information!$B$11</f>
        <v>2100 CENTRAL FURNACE ROAD</v>
      </c>
      <c r="Z407" s="131" t="str">
        <f>+Plant_Information!$B$12</f>
        <v>CLEVELAND, OH, 44115</v>
      </c>
      <c r="AA407" s="131" t="str">
        <f>+Plant_Information!$B$13</f>
        <v>12</v>
      </c>
      <c r="AB407" s="131" t="str">
        <f>+Plant_Information!$B$14</f>
        <v>CUY</v>
      </c>
      <c r="AC407" s="70"/>
    </row>
    <row r="408" spans="17:29" x14ac:dyDescent="0.2">
      <c r="Q408" t="str">
        <f>Plant_Information!$B$6</f>
        <v>(INSERT VENDOR NAME HERE)</v>
      </c>
      <c r="R408" t="str">
        <f>'HAULING RATES- ODOT Locations'!$A$233</f>
        <v>District 12</v>
      </c>
      <c r="S408" t="str">
        <f>'HAULING RATES- ODOT Locations'!A237</f>
        <v>Cuyahoga</v>
      </c>
      <c r="T408" t="str">
        <f>'HAULING RATES- ODOT Locations'!B237</f>
        <v>5469 Old Brecksville Rd., Independence, OH 44131</v>
      </c>
      <c r="U408" t="str">
        <f>'HAULING RATES- ODOT Locations'!D$8</f>
        <v>Slag</v>
      </c>
      <c r="V408" s="146">
        <f>'HAULING RATES- ODOT Locations'!D237</f>
        <v>0</v>
      </c>
      <c r="W408" s="131" t="str">
        <f>+'Aggregate, Plant Pick-up'!$C$6</f>
        <v>LAFARGE-MARBLEHEAD "OSBORNE-CLEVELAND"</v>
      </c>
      <c r="X408" s="131" t="str">
        <f>+Plant_Information!$B$10</f>
        <v>04105-28</v>
      </c>
      <c r="Y408" s="131" t="str">
        <f>+Plant_Information!$B$11</f>
        <v>2100 CENTRAL FURNACE ROAD</v>
      </c>
      <c r="Z408" s="131" t="str">
        <f>+Plant_Information!$B$12</f>
        <v>CLEVELAND, OH, 44115</v>
      </c>
      <c r="AA408" s="131" t="str">
        <f>+Plant_Information!$B$13</f>
        <v>12</v>
      </c>
      <c r="AB408" s="131" t="str">
        <f>+Plant_Information!$B$14</f>
        <v>CUY</v>
      </c>
      <c r="AC408" s="70"/>
    </row>
    <row r="409" spans="17:29" x14ac:dyDescent="0.2">
      <c r="Q409" t="str">
        <f>Plant_Information!$B$6</f>
        <v>(INSERT VENDOR NAME HERE)</v>
      </c>
      <c r="R409" t="str">
        <f>'HAULING RATES- ODOT Locations'!$A$233</f>
        <v>District 12</v>
      </c>
      <c r="S409" t="str">
        <f>'HAULING RATES- ODOT Locations'!A238</f>
        <v>Cuyahoga</v>
      </c>
      <c r="T409" t="str">
        <f>'HAULING RATES- ODOT Locations'!B238</f>
        <v>25500 St. Clair Ave Euclid OH 44117</v>
      </c>
      <c r="U409" t="str">
        <f>'HAULING RATES- ODOT Locations'!D$8</f>
        <v>Slag</v>
      </c>
      <c r="V409" s="146">
        <f>'HAULING RATES- ODOT Locations'!D238</f>
        <v>0</v>
      </c>
      <c r="W409" s="131" t="str">
        <f>+'Aggregate, Plant Pick-up'!$C$6</f>
        <v>LAFARGE-MARBLEHEAD "OSBORNE-CLEVELAND"</v>
      </c>
      <c r="X409" s="131" t="str">
        <f>+Plant_Information!$B$10</f>
        <v>04105-28</v>
      </c>
      <c r="Y409" s="131" t="str">
        <f>+Plant_Information!$B$11</f>
        <v>2100 CENTRAL FURNACE ROAD</v>
      </c>
      <c r="Z409" s="131" t="str">
        <f>+Plant_Information!$B$12</f>
        <v>CLEVELAND, OH, 44115</v>
      </c>
      <c r="AA409" s="131" t="str">
        <f>+Plant_Information!$B$13</f>
        <v>12</v>
      </c>
      <c r="AB409" s="131" t="str">
        <f>+Plant_Information!$B$14</f>
        <v>CUY</v>
      </c>
      <c r="AC409" s="70"/>
    </row>
    <row r="410" spans="17:29" x14ac:dyDescent="0.2">
      <c r="Q410" t="str">
        <f>Plant_Information!$B$6</f>
        <v>(INSERT VENDOR NAME HERE)</v>
      </c>
      <c r="R410" t="str">
        <f>'HAULING RATES- ODOT Locations'!$A$233</f>
        <v>District 12</v>
      </c>
      <c r="S410" t="str">
        <f>'HAULING RATES- ODOT Locations'!A239</f>
        <v>Cuyahoga</v>
      </c>
      <c r="T410" t="str">
        <f>'HAULING RATES- ODOT Locations'!B239</f>
        <v>2151 W114th St. Cleveland OH 44102</v>
      </c>
      <c r="U410" t="str">
        <f>'HAULING RATES- ODOT Locations'!D$8</f>
        <v>Slag</v>
      </c>
      <c r="V410" s="146">
        <f>'HAULING RATES- ODOT Locations'!D239</f>
        <v>0</v>
      </c>
      <c r="W410" s="131" t="str">
        <f>+'Aggregate, Plant Pick-up'!$C$6</f>
        <v>LAFARGE-MARBLEHEAD "OSBORNE-CLEVELAND"</v>
      </c>
      <c r="X410" s="131" t="str">
        <f>+Plant_Information!$B$10</f>
        <v>04105-28</v>
      </c>
      <c r="Y410" s="131" t="str">
        <f>+Plant_Information!$B$11</f>
        <v>2100 CENTRAL FURNACE ROAD</v>
      </c>
      <c r="Z410" s="131" t="str">
        <f>+Plant_Information!$B$12</f>
        <v>CLEVELAND, OH, 44115</v>
      </c>
      <c r="AA410" s="131" t="str">
        <f>+Plant_Information!$B$13</f>
        <v>12</v>
      </c>
      <c r="AB410" s="131" t="str">
        <f>+Plant_Information!$B$14</f>
        <v>CUY</v>
      </c>
      <c r="AC410" s="70"/>
    </row>
    <row r="411" spans="17:29" x14ac:dyDescent="0.2">
      <c r="Q411" t="str">
        <f>Plant_Information!$B$6</f>
        <v>(INSERT VENDOR NAME HERE)</v>
      </c>
      <c r="R411" t="str">
        <f>'HAULING RATES- ODOT Locations'!$A$233</f>
        <v>District 12</v>
      </c>
      <c r="S411" t="str">
        <f>'HAULING RATES- ODOT Locations'!A240</f>
        <v>Cuyahoga</v>
      </c>
      <c r="T411" t="str">
        <f>'HAULING RATES- ODOT Locations'!B240</f>
        <v>Riveredge Yard, 4900 Old Grayton Rd., Cleveland, OH 44135</v>
      </c>
      <c r="U411" t="str">
        <f>'HAULING RATES- ODOT Locations'!D$8</f>
        <v>Slag</v>
      </c>
      <c r="V411" s="146">
        <f>'HAULING RATES- ODOT Locations'!D240</f>
        <v>0</v>
      </c>
      <c r="W411" s="131" t="str">
        <f>+'Aggregate, Plant Pick-up'!$C$6</f>
        <v>LAFARGE-MARBLEHEAD "OSBORNE-CLEVELAND"</v>
      </c>
      <c r="X411" s="131" t="str">
        <f>+Plant_Information!$B$10</f>
        <v>04105-28</v>
      </c>
      <c r="Y411" s="131" t="str">
        <f>+Plant_Information!$B$11</f>
        <v>2100 CENTRAL FURNACE ROAD</v>
      </c>
      <c r="Z411" s="131" t="str">
        <f>+Plant_Information!$B$12</f>
        <v>CLEVELAND, OH, 44115</v>
      </c>
      <c r="AA411" s="131" t="str">
        <f>+Plant_Information!$B$13</f>
        <v>12</v>
      </c>
      <c r="AB411" s="131" t="str">
        <f>+Plant_Information!$B$14</f>
        <v>CUY</v>
      </c>
      <c r="AC411" s="70"/>
    </row>
    <row r="412" spans="17:29" x14ac:dyDescent="0.2">
      <c r="Q412" t="str">
        <f>Plant_Information!$B$6</f>
        <v>(INSERT VENDOR NAME HERE)</v>
      </c>
      <c r="R412" t="str">
        <f>'HAULING RATES- ODOT Locations'!$A$233</f>
        <v>District 12</v>
      </c>
      <c r="S412" t="str">
        <f>'HAULING RATES- ODOT Locations'!A241</f>
        <v>Cuyahoga</v>
      </c>
      <c r="T412" t="str">
        <f>'HAULING RATES- ODOT Locations'!B241</f>
        <v>3263 E 44th Pl, Cleveland, OH 44127</v>
      </c>
      <c r="U412" t="str">
        <f>'HAULING RATES- ODOT Locations'!D$8</f>
        <v>Slag</v>
      </c>
      <c r="V412" s="146">
        <f>'HAULING RATES- ODOT Locations'!D241</f>
        <v>0</v>
      </c>
      <c r="W412" s="131" t="str">
        <f>+'Aggregate, Plant Pick-up'!$C$6</f>
        <v>LAFARGE-MARBLEHEAD "OSBORNE-CLEVELAND"</v>
      </c>
      <c r="X412" s="131" t="str">
        <f>+Plant_Information!$B$10</f>
        <v>04105-28</v>
      </c>
      <c r="Y412" s="131" t="str">
        <f>+Plant_Information!$B$11</f>
        <v>2100 CENTRAL FURNACE ROAD</v>
      </c>
      <c r="Z412" s="131" t="str">
        <f>+Plant_Information!$B$12</f>
        <v>CLEVELAND, OH, 44115</v>
      </c>
      <c r="AA412" s="131" t="str">
        <f>+Plant_Information!$B$13</f>
        <v>12</v>
      </c>
      <c r="AB412" s="131" t="str">
        <f>+Plant_Information!$B$14</f>
        <v>CUY</v>
      </c>
      <c r="AC412" s="70"/>
    </row>
    <row r="413" spans="17:29" x14ac:dyDescent="0.2">
      <c r="Q413" t="str">
        <f>Plant_Information!$B$6</f>
        <v>(INSERT VENDOR NAME HERE)</v>
      </c>
      <c r="R413" t="str">
        <f>'HAULING RATES- ODOT Locations'!$A$233</f>
        <v>District 12</v>
      </c>
      <c r="S413" t="str">
        <f>'HAULING RATES- ODOT Locations'!A242</f>
        <v>Cuyahoga</v>
      </c>
      <c r="T413" t="str">
        <f>'HAULING RATES- ODOT Locations'!B242</f>
        <v>25609 Emery Rd., Warrensville Heights, OH 44128</v>
      </c>
      <c r="U413" t="str">
        <f>'HAULING RATES- ODOT Locations'!D$8</f>
        <v>Slag</v>
      </c>
      <c r="V413" s="146">
        <f>'HAULING RATES- ODOT Locations'!D242</f>
        <v>0</v>
      </c>
      <c r="W413" s="131" t="str">
        <f>+'Aggregate, Plant Pick-up'!$C$6</f>
        <v>LAFARGE-MARBLEHEAD "OSBORNE-CLEVELAND"</v>
      </c>
      <c r="X413" s="131" t="str">
        <f>+Plant_Information!$B$10</f>
        <v>04105-28</v>
      </c>
      <c r="Y413" s="131" t="str">
        <f>+Plant_Information!$B$11</f>
        <v>2100 CENTRAL FURNACE ROAD</v>
      </c>
      <c r="Z413" s="131" t="str">
        <f>+Plant_Information!$B$12</f>
        <v>CLEVELAND, OH, 44115</v>
      </c>
      <c r="AA413" s="131" t="str">
        <f>+Plant_Information!$B$13</f>
        <v>12</v>
      </c>
      <c r="AB413" s="131" t="str">
        <f>+Plant_Information!$B$14</f>
        <v>CUY</v>
      </c>
      <c r="AC413" s="70"/>
    </row>
    <row r="414" spans="17:29" x14ac:dyDescent="0.2">
      <c r="Q414" t="str">
        <f>Plant_Information!$B$6</f>
        <v>(INSERT VENDOR NAME HERE)</v>
      </c>
      <c r="R414" t="str">
        <f>'HAULING RATES- ODOT Locations'!$A$233</f>
        <v>District 12</v>
      </c>
      <c r="S414" t="str">
        <f>'HAULING RATES- ODOT Locations'!A243</f>
        <v>Geauga</v>
      </c>
      <c r="T414" t="str">
        <f>'HAULING RATES- ODOT Locations'!B243</f>
        <v>13595 W. Center St.(Rt. 87), Burton, OH 44021</v>
      </c>
      <c r="U414" t="str">
        <f>'HAULING RATES- ODOT Locations'!D$8</f>
        <v>Slag</v>
      </c>
      <c r="V414" s="146">
        <f>'HAULING RATES- ODOT Locations'!D243</f>
        <v>0</v>
      </c>
      <c r="W414" s="131" t="str">
        <f>+'Aggregate, Plant Pick-up'!$C$6</f>
        <v>LAFARGE-MARBLEHEAD "OSBORNE-CLEVELAND"</v>
      </c>
      <c r="X414" s="131" t="str">
        <f>+Plant_Information!$B$10</f>
        <v>04105-28</v>
      </c>
      <c r="Y414" s="131" t="str">
        <f>+Plant_Information!$B$11</f>
        <v>2100 CENTRAL FURNACE ROAD</v>
      </c>
      <c r="Z414" s="131" t="str">
        <f>+Plant_Information!$B$12</f>
        <v>CLEVELAND, OH, 44115</v>
      </c>
      <c r="AA414" s="131" t="str">
        <f>+Plant_Information!$B$13</f>
        <v>12</v>
      </c>
      <c r="AB414" s="131" t="str">
        <f>+Plant_Information!$B$14</f>
        <v>CUY</v>
      </c>
      <c r="AC414" s="70"/>
    </row>
    <row r="415" spans="17:29" x14ac:dyDescent="0.2">
      <c r="Q415" t="str">
        <f>Plant_Information!$B$6</f>
        <v>(INSERT VENDOR NAME HERE)</v>
      </c>
      <c r="R415" t="str">
        <f>'HAULING RATES- ODOT Locations'!$A$233</f>
        <v>District 12</v>
      </c>
      <c r="S415" t="str">
        <f>'HAULING RATES- ODOT Locations'!A244</f>
        <v>Geauga</v>
      </c>
      <c r="T415" t="str">
        <f>'HAULING RATES- ODOT Locations'!B244</f>
        <v>16556 G.A.R. Highway (Route 6), Montville Twp., OH 44064</v>
      </c>
      <c r="U415" t="str">
        <f>'HAULING RATES- ODOT Locations'!D$8</f>
        <v>Slag</v>
      </c>
      <c r="V415" s="146">
        <f>'HAULING RATES- ODOT Locations'!D244</f>
        <v>0</v>
      </c>
      <c r="W415" s="131" t="str">
        <f>+'Aggregate, Plant Pick-up'!$C$6</f>
        <v>LAFARGE-MARBLEHEAD "OSBORNE-CLEVELAND"</v>
      </c>
      <c r="X415" s="131" t="str">
        <f>+Plant_Information!$B$10</f>
        <v>04105-28</v>
      </c>
      <c r="Y415" s="131" t="str">
        <f>+Plant_Information!$B$11</f>
        <v>2100 CENTRAL FURNACE ROAD</v>
      </c>
      <c r="Z415" s="131" t="str">
        <f>+Plant_Information!$B$12</f>
        <v>CLEVELAND, OH, 44115</v>
      </c>
      <c r="AA415" s="131" t="str">
        <f>+Plant_Information!$B$13</f>
        <v>12</v>
      </c>
      <c r="AB415" s="131" t="str">
        <f>+Plant_Information!$B$14</f>
        <v>CUY</v>
      </c>
      <c r="AC415" s="70"/>
    </row>
    <row r="416" spans="17:29" x14ac:dyDescent="0.2">
      <c r="Q416" t="str">
        <f>Plant_Information!$B$6</f>
        <v>(INSERT VENDOR NAME HERE)</v>
      </c>
      <c r="R416" t="str">
        <f>'HAULING RATES- ODOT Locations'!$A$233</f>
        <v>District 12</v>
      </c>
      <c r="S416" t="str">
        <f>'HAULING RATES- ODOT Locations'!A245</f>
        <v>Geauga</v>
      </c>
      <c r="T416" t="str">
        <f>'HAULING RATES- ODOT Locations'!B245</f>
        <v>Munson Yard, 12453 Bass Lake Rd. (Off  Route 322) Munson Twp., OH 44024</v>
      </c>
      <c r="U416" t="str">
        <f>'HAULING RATES- ODOT Locations'!D$8</f>
        <v>Slag</v>
      </c>
      <c r="V416" s="146">
        <f>'HAULING RATES- ODOT Locations'!D245</f>
        <v>0</v>
      </c>
      <c r="W416" s="131" t="str">
        <f>+'Aggregate, Plant Pick-up'!$C$6</f>
        <v>LAFARGE-MARBLEHEAD "OSBORNE-CLEVELAND"</v>
      </c>
      <c r="X416" s="131" t="str">
        <f>+Plant_Information!$B$10</f>
        <v>04105-28</v>
      </c>
      <c r="Y416" s="131" t="str">
        <f>+Plant_Information!$B$11</f>
        <v>2100 CENTRAL FURNACE ROAD</v>
      </c>
      <c r="Z416" s="131" t="str">
        <f>+Plant_Information!$B$12</f>
        <v>CLEVELAND, OH, 44115</v>
      </c>
      <c r="AA416" s="131" t="str">
        <f>+Plant_Information!$B$13</f>
        <v>12</v>
      </c>
      <c r="AB416" s="131" t="str">
        <f>+Plant_Information!$B$14</f>
        <v>CUY</v>
      </c>
      <c r="AC416" s="70"/>
    </row>
    <row r="417" spans="17:29" x14ac:dyDescent="0.2">
      <c r="Q417" t="str">
        <f>Plant_Information!$B$6</f>
        <v>(INSERT VENDOR NAME HERE)</v>
      </c>
      <c r="R417" t="str">
        <f>'HAULING RATES- ODOT Locations'!$A$233</f>
        <v>District 12</v>
      </c>
      <c r="S417" t="str">
        <f>'HAULING RATES- ODOT Locations'!A246</f>
        <v>Geauga</v>
      </c>
      <c r="T417" t="str">
        <f>'HAULING RATES- ODOT Locations'!B246</f>
        <v>18186 Tavern Rd.(Route 168), Parkman Twp., OH 44080</v>
      </c>
      <c r="U417" t="str">
        <f>'HAULING RATES- ODOT Locations'!D$8</f>
        <v>Slag</v>
      </c>
      <c r="V417" s="146">
        <f>'HAULING RATES- ODOT Locations'!D246</f>
        <v>0</v>
      </c>
      <c r="W417" s="131" t="str">
        <f>+'Aggregate, Plant Pick-up'!$C$6</f>
        <v>LAFARGE-MARBLEHEAD "OSBORNE-CLEVELAND"</v>
      </c>
      <c r="X417" s="131" t="str">
        <f>+Plant_Information!$B$10</f>
        <v>04105-28</v>
      </c>
      <c r="Y417" s="131" t="str">
        <f>+Plant_Information!$B$11</f>
        <v>2100 CENTRAL FURNACE ROAD</v>
      </c>
      <c r="Z417" s="131" t="str">
        <f>+Plant_Information!$B$12</f>
        <v>CLEVELAND, OH, 44115</v>
      </c>
      <c r="AA417" s="131" t="str">
        <f>+Plant_Information!$B$13</f>
        <v>12</v>
      </c>
      <c r="AB417" s="131" t="str">
        <f>+Plant_Information!$B$14</f>
        <v>CUY</v>
      </c>
      <c r="AC417" s="70"/>
    </row>
    <row r="418" spans="17:29" x14ac:dyDescent="0.2">
      <c r="Q418" t="str">
        <f>Plant_Information!$B$6</f>
        <v>(INSERT VENDOR NAME HERE)</v>
      </c>
      <c r="R418" t="str">
        <f>'HAULING RATES- ODOT Locations'!$A$233</f>
        <v>District 12</v>
      </c>
      <c r="S418" t="str">
        <f>'HAULING RATES- ODOT Locations'!A247</f>
        <v>Lake</v>
      </c>
      <c r="T418" t="str">
        <f>'HAULING RATES- ODOT Locations'!B247</f>
        <v>10 Blackbrook Rd., Painesville, OH 44077</v>
      </c>
      <c r="U418" t="str">
        <f>'HAULING RATES- ODOT Locations'!D$8</f>
        <v>Slag</v>
      </c>
      <c r="V418" s="146">
        <f>'HAULING RATES- ODOT Locations'!D247</f>
        <v>0</v>
      </c>
      <c r="W418" s="131" t="str">
        <f>+'Aggregate, Plant Pick-up'!$C$6</f>
        <v>LAFARGE-MARBLEHEAD "OSBORNE-CLEVELAND"</v>
      </c>
      <c r="X418" s="131" t="str">
        <f>+Plant_Information!$B$10</f>
        <v>04105-28</v>
      </c>
      <c r="Y418" s="131" t="str">
        <f>+Plant_Information!$B$11</f>
        <v>2100 CENTRAL FURNACE ROAD</v>
      </c>
      <c r="Z418" s="131" t="str">
        <f>+Plant_Information!$B$12</f>
        <v>CLEVELAND, OH, 44115</v>
      </c>
      <c r="AA418" s="131" t="str">
        <f>+Plant_Information!$B$13</f>
        <v>12</v>
      </c>
      <c r="AB418" s="131" t="str">
        <f>+Plant_Information!$B$14</f>
        <v>CUY</v>
      </c>
      <c r="AC418" s="70"/>
    </row>
    <row r="419" spans="17:29" x14ac:dyDescent="0.2">
      <c r="Q419" t="str">
        <f>Plant_Information!$B$6</f>
        <v>(INSERT VENDOR NAME HERE)</v>
      </c>
      <c r="R419" t="str">
        <f>'HAULING RATES- ODOT Locations'!$A$233</f>
        <v>District 12</v>
      </c>
      <c r="S419" t="str">
        <f>'HAULING RATES- ODOT Locations'!A248</f>
        <v>Lake</v>
      </c>
      <c r="T419" t="str">
        <f>'HAULING RATES- ODOT Locations'!B248</f>
        <v>Unionville OP, 3210 County Line Rd., Madison Twp., OH 44057</v>
      </c>
      <c r="U419" t="str">
        <f>'HAULING RATES- ODOT Locations'!D$8</f>
        <v>Slag</v>
      </c>
      <c r="V419" s="146">
        <f>'HAULING RATES- ODOT Locations'!D248</f>
        <v>0</v>
      </c>
      <c r="W419" s="131" t="str">
        <f>+'Aggregate, Plant Pick-up'!$C$6</f>
        <v>LAFARGE-MARBLEHEAD "OSBORNE-CLEVELAND"</v>
      </c>
      <c r="X419" s="131" t="str">
        <f>+Plant_Information!$B$10</f>
        <v>04105-28</v>
      </c>
      <c r="Y419" s="131" t="str">
        <f>+Plant_Information!$B$11</f>
        <v>2100 CENTRAL FURNACE ROAD</v>
      </c>
      <c r="Z419" s="131" t="str">
        <f>+Plant_Information!$B$12</f>
        <v>CLEVELAND, OH, 44115</v>
      </c>
      <c r="AA419" s="131" t="str">
        <f>+Plant_Information!$B$13</f>
        <v>12</v>
      </c>
      <c r="AB419" s="131" t="str">
        <f>+Plant_Information!$B$14</f>
        <v>CUY</v>
      </c>
      <c r="AC419" s="70"/>
    </row>
    <row r="420" spans="17:29" x14ac:dyDescent="0.2">
      <c r="Q420" t="str">
        <f>Plant_Information!$B$6</f>
        <v>(INSERT VENDOR NAME HERE)</v>
      </c>
      <c r="R420" t="str">
        <f>'HAULING RATES- ODOT Locations'!$A$233</f>
        <v>District 12</v>
      </c>
      <c r="S420" t="str">
        <f>'HAULING RATES- ODOT Locations'!A249</f>
        <v>Lake</v>
      </c>
      <c r="T420" t="str">
        <f>'HAULING RATES- ODOT Locations'!B249</f>
        <v>I-90 EB, 0.84 mi. east of SR 91, Willoughby Hills, OH 44094 (Old Weigh Scale)</v>
      </c>
      <c r="U420" t="str">
        <f>'HAULING RATES- ODOT Locations'!D$8</f>
        <v>Slag</v>
      </c>
      <c r="V420" s="146">
        <f>'HAULING RATES- ODOT Locations'!D249</f>
        <v>0</v>
      </c>
      <c r="W420" s="131" t="str">
        <f>+'Aggregate, Plant Pick-up'!$C$6</f>
        <v>LAFARGE-MARBLEHEAD "OSBORNE-CLEVELAND"</v>
      </c>
      <c r="X420" s="131" t="str">
        <f>+Plant_Information!$B$10</f>
        <v>04105-28</v>
      </c>
      <c r="Y420" s="131" t="str">
        <f>+Plant_Information!$B$11</f>
        <v>2100 CENTRAL FURNACE ROAD</v>
      </c>
      <c r="Z420" s="131" t="str">
        <f>+Plant_Information!$B$12</f>
        <v>CLEVELAND, OH, 44115</v>
      </c>
      <c r="AA420" s="131" t="str">
        <f>+Plant_Information!$B$13</f>
        <v>12</v>
      </c>
      <c r="AB420" s="131" t="str">
        <f>+Plant_Information!$B$14</f>
        <v>CUY</v>
      </c>
      <c r="AC420" s="70"/>
    </row>
    <row r="421" spans="17:29" x14ac:dyDescent="0.2">
      <c r="Q421" t="str">
        <f>Plant_Information!$B$6</f>
        <v>(INSERT VENDOR NAME HERE)</v>
      </c>
      <c r="R421" t="str">
        <f>'HAULING RATES- ODOT Locations'!$A$233</f>
        <v>District 12</v>
      </c>
      <c r="S421" t="str">
        <f>'HAULING RATES- ODOT Locations'!A250</f>
        <v>Lake</v>
      </c>
      <c r="T421" t="str">
        <f>'HAULING RATES- ODOT Locations'!B250</f>
        <v>6073 Vrooman Rd., Leroy Township., OH 44077</v>
      </c>
      <c r="U421" t="str">
        <f>'HAULING RATES- ODOT Locations'!D$8</f>
        <v>Slag</v>
      </c>
      <c r="V421" s="146">
        <f>'HAULING RATES- ODOT Locations'!D250</f>
        <v>0</v>
      </c>
      <c r="W421" s="131" t="str">
        <f>+'Aggregate, Plant Pick-up'!$C$6</f>
        <v>LAFARGE-MARBLEHEAD "OSBORNE-CLEVELAND"</v>
      </c>
      <c r="X421" s="131" t="str">
        <f>+Plant_Information!$B$10</f>
        <v>04105-28</v>
      </c>
      <c r="Y421" s="131" t="str">
        <f>+Plant_Information!$B$11</f>
        <v>2100 CENTRAL FURNACE ROAD</v>
      </c>
      <c r="Z421" s="131" t="str">
        <f>+Plant_Information!$B$12</f>
        <v>CLEVELAND, OH, 44115</v>
      </c>
      <c r="AA421" s="131" t="str">
        <f>+Plant_Information!$B$13</f>
        <v>12</v>
      </c>
      <c r="AB421" s="131" t="str">
        <f>+Plant_Information!$B$14</f>
        <v>CUY</v>
      </c>
      <c r="AC421" s="70"/>
    </row>
    <row r="422" spans="17:29" x14ac:dyDescent="0.2">
      <c r="Q422" s="100" t="str">
        <f>Plant_Information!$B$6</f>
        <v>(INSERT VENDOR NAME HERE)</v>
      </c>
      <c r="R422" s="100" t="str">
        <f>'HAULING RATES- ODOT Locations'!$A$6</f>
        <v>District 1</v>
      </c>
      <c r="S422" s="100" t="str">
        <f>'HAULING RATES- ODOT Locations'!A9</f>
        <v>Allen</v>
      </c>
      <c r="T422" s="100" t="str">
        <f>'HAULING RATES- ODOT Locations'!B9</f>
        <v>1705 North McCullough Street, Lima, 45801</v>
      </c>
      <c r="U422" t="str">
        <f>'HAULING RATES- ODOT Locations'!E$8</f>
        <v>Gravel</v>
      </c>
      <c r="V422" s="146">
        <f>'HAULING RATES- ODOT Locations'!E9</f>
        <v>0</v>
      </c>
      <c r="W422" s="131" t="str">
        <f>+'Aggregate, Plant Pick-up'!$C$6</f>
        <v>LAFARGE-MARBLEHEAD "OSBORNE-CLEVELAND"</v>
      </c>
      <c r="X422" s="131" t="str">
        <f>+Plant_Information!$B$10</f>
        <v>04105-28</v>
      </c>
      <c r="Y422" s="131" t="str">
        <f>+Plant_Information!$B$11</f>
        <v>2100 CENTRAL FURNACE ROAD</v>
      </c>
      <c r="Z422" s="131" t="str">
        <f>+Plant_Information!$B$12</f>
        <v>CLEVELAND, OH, 44115</v>
      </c>
      <c r="AA422" s="131" t="str">
        <f>+Plant_Information!$B$13</f>
        <v>12</v>
      </c>
      <c r="AB422" s="131" t="str">
        <f>+Plant_Information!$B$14</f>
        <v>CUY</v>
      </c>
      <c r="AC422" s="70"/>
    </row>
    <row r="423" spans="17:29" x14ac:dyDescent="0.2">
      <c r="Q423" s="100" t="str">
        <f>Plant_Information!$B$6</f>
        <v>(INSERT VENDOR NAME HERE)</v>
      </c>
      <c r="R423" s="100" t="str">
        <f>'HAULING RATES- ODOT Locations'!$A$6</f>
        <v>District 1</v>
      </c>
      <c r="S423" s="100" t="str">
        <f>'HAULING RATES- ODOT Locations'!A10</f>
        <v>Defiance</v>
      </c>
      <c r="T423" s="100" t="str">
        <f>'HAULING RATES- ODOT Locations'!B10</f>
        <v>2340 Baltimore Rd., Defiance 43512</v>
      </c>
      <c r="U423" t="str">
        <f>'HAULING RATES- ODOT Locations'!E$8</f>
        <v>Gravel</v>
      </c>
      <c r="V423" s="146">
        <f>'HAULING RATES- ODOT Locations'!E10</f>
        <v>0</v>
      </c>
      <c r="W423" s="131" t="str">
        <f>+'Aggregate, Plant Pick-up'!$C$6</f>
        <v>LAFARGE-MARBLEHEAD "OSBORNE-CLEVELAND"</v>
      </c>
      <c r="X423" s="131" t="str">
        <f>+Plant_Information!$B$10</f>
        <v>04105-28</v>
      </c>
      <c r="Y423" s="131" t="str">
        <f>+Plant_Information!$B$11</f>
        <v>2100 CENTRAL FURNACE ROAD</v>
      </c>
      <c r="Z423" s="131" t="str">
        <f>+Plant_Information!$B$12</f>
        <v>CLEVELAND, OH, 44115</v>
      </c>
      <c r="AA423" s="131" t="str">
        <f>+Plant_Information!$B$13</f>
        <v>12</v>
      </c>
      <c r="AB423" s="131" t="str">
        <f>+Plant_Information!$B$14</f>
        <v>CUY</v>
      </c>
      <c r="AC423" s="70"/>
    </row>
    <row r="424" spans="17:29" x14ac:dyDescent="0.2">
      <c r="Q424" s="100" t="str">
        <f>Plant_Information!$B$6</f>
        <v>(INSERT VENDOR NAME HERE)</v>
      </c>
      <c r="R424" s="100" t="str">
        <f>'HAULING RATES- ODOT Locations'!$A$6</f>
        <v>District 1</v>
      </c>
      <c r="S424" s="100" t="str">
        <f>'HAULING RATES- ODOT Locations'!A11</f>
        <v>Hancock</v>
      </c>
      <c r="T424" s="100" t="str">
        <f>'HAULING RATES- ODOT Locations'!B11</f>
        <v>1645 Lima Ave., Findlay 45840</v>
      </c>
      <c r="U424" t="str">
        <f>'HAULING RATES- ODOT Locations'!E$8</f>
        <v>Gravel</v>
      </c>
      <c r="V424" s="146">
        <f>'HAULING RATES- ODOT Locations'!E11</f>
        <v>0</v>
      </c>
      <c r="W424" s="131" t="str">
        <f>+'Aggregate, Plant Pick-up'!$C$6</f>
        <v>LAFARGE-MARBLEHEAD "OSBORNE-CLEVELAND"</v>
      </c>
      <c r="X424" s="131" t="str">
        <f>+Plant_Information!$B$10</f>
        <v>04105-28</v>
      </c>
      <c r="Y424" s="131" t="str">
        <f>+Plant_Information!$B$11</f>
        <v>2100 CENTRAL FURNACE ROAD</v>
      </c>
      <c r="Z424" s="131" t="str">
        <f>+Plant_Information!$B$12</f>
        <v>CLEVELAND, OH, 44115</v>
      </c>
      <c r="AA424" s="131" t="str">
        <f>+Plant_Information!$B$13</f>
        <v>12</v>
      </c>
      <c r="AB424" s="131" t="str">
        <f>+Plant_Information!$B$14</f>
        <v>CUY</v>
      </c>
      <c r="AC424" s="70"/>
    </row>
    <row r="425" spans="17:29" x14ac:dyDescent="0.2">
      <c r="Q425" s="100" t="str">
        <f>Plant_Information!$B$6</f>
        <v>(INSERT VENDOR NAME HERE)</v>
      </c>
      <c r="R425" s="100" t="str">
        <f>'HAULING RATES- ODOT Locations'!$A$6</f>
        <v>District 1</v>
      </c>
      <c r="S425" s="100" t="str">
        <f>'HAULING RATES- ODOT Locations'!A12</f>
        <v>Hardin</v>
      </c>
      <c r="T425" s="100" t="str">
        <f>'HAULING RATES- ODOT Locations'!B12</f>
        <v>13052 US 68, Kenton 43326</v>
      </c>
      <c r="U425" t="str">
        <f>'HAULING RATES- ODOT Locations'!E$8</f>
        <v>Gravel</v>
      </c>
      <c r="V425" s="146">
        <f>'HAULING RATES- ODOT Locations'!E12</f>
        <v>0</v>
      </c>
      <c r="W425" s="131" t="str">
        <f>+'Aggregate, Plant Pick-up'!$C$6</f>
        <v>LAFARGE-MARBLEHEAD "OSBORNE-CLEVELAND"</v>
      </c>
      <c r="X425" s="131" t="str">
        <f>+Plant_Information!$B$10</f>
        <v>04105-28</v>
      </c>
      <c r="Y425" s="131" t="str">
        <f>+Plant_Information!$B$11</f>
        <v>2100 CENTRAL FURNACE ROAD</v>
      </c>
      <c r="Z425" s="131" t="str">
        <f>+Plant_Information!$B$12</f>
        <v>CLEVELAND, OH, 44115</v>
      </c>
      <c r="AA425" s="131" t="str">
        <f>+Plant_Information!$B$13</f>
        <v>12</v>
      </c>
      <c r="AB425" s="131" t="str">
        <f>+Plant_Information!$B$14</f>
        <v>CUY</v>
      </c>
      <c r="AC425" s="70"/>
    </row>
    <row r="426" spans="17:29" x14ac:dyDescent="0.2">
      <c r="Q426" s="100" t="str">
        <f>Plant_Information!$B$6</f>
        <v>(INSERT VENDOR NAME HERE)</v>
      </c>
      <c r="R426" s="100" t="str">
        <f>'HAULING RATES- ODOT Locations'!$A$6</f>
        <v>District 1</v>
      </c>
      <c r="S426" s="100" t="str">
        <f>'HAULING RATES- ODOT Locations'!A13</f>
        <v>Paulding</v>
      </c>
      <c r="T426" s="100" t="str">
        <f>'HAULING RATES- ODOT Locations'!B13</f>
        <v>833 W. Wayne St., Paulding 45879</v>
      </c>
      <c r="U426" t="str">
        <f>'HAULING RATES- ODOT Locations'!E$8</f>
        <v>Gravel</v>
      </c>
      <c r="V426" s="146">
        <f>'HAULING RATES- ODOT Locations'!E13</f>
        <v>0</v>
      </c>
      <c r="W426" s="131" t="str">
        <f>+'Aggregate, Plant Pick-up'!$C$6</f>
        <v>LAFARGE-MARBLEHEAD "OSBORNE-CLEVELAND"</v>
      </c>
      <c r="X426" s="131" t="str">
        <f>+Plant_Information!$B$10</f>
        <v>04105-28</v>
      </c>
      <c r="Y426" s="131" t="str">
        <f>+Plant_Information!$B$11</f>
        <v>2100 CENTRAL FURNACE ROAD</v>
      </c>
      <c r="Z426" s="131" t="str">
        <f>+Plant_Information!$B$12</f>
        <v>CLEVELAND, OH, 44115</v>
      </c>
      <c r="AA426" s="131" t="str">
        <f>+Plant_Information!$B$13</f>
        <v>12</v>
      </c>
      <c r="AB426" s="131" t="str">
        <f>+Plant_Information!$B$14</f>
        <v>CUY</v>
      </c>
      <c r="AC426" s="70"/>
    </row>
    <row r="427" spans="17:29" x14ac:dyDescent="0.2">
      <c r="Q427" s="100" t="str">
        <f>Plant_Information!$B$6</f>
        <v>(INSERT VENDOR NAME HERE)</v>
      </c>
      <c r="R427" s="100" t="str">
        <f>'HAULING RATES- ODOT Locations'!$A$6</f>
        <v>District 1</v>
      </c>
      <c r="S427" s="100" t="str">
        <f>'HAULING RATES- ODOT Locations'!A14</f>
        <v xml:space="preserve">Putnam </v>
      </c>
      <c r="T427" s="100" t="str">
        <f>'HAULING RATES- ODOT Locations'!B14</f>
        <v>617 E. 11th St. (Intersection SR 65 &amp; 11th Street), Ottawa, 45875</v>
      </c>
      <c r="U427" t="str">
        <f>'HAULING RATES- ODOT Locations'!E$8</f>
        <v>Gravel</v>
      </c>
      <c r="V427" s="146">
        <f>'HAULING RATES- ODOT Locations'!E14</f>
        <v>0</v>
      </c>
      <c r="W427" s="131" t="str">
        <f>+'Aggregate, Plant Pick-up'!$C$6</f>
        <v>LAFARGE-MARBLEHEAD "OSBORNE-CLEVELAND"</v>
      </c>
      <c r="X427" s="131" t="str">
        <f>+Plant_Information!$B$10</f>
        <v>04105-28</v>
      </c>
      <c r="Y427" s="131" t="str">
        <f>+Plant_Information!$B$11</f>
        <v>2100 CENTRAL FURNACE ROAD</v>
      </c>
      <c r="Z427" s="131" t="str">
        <f>+Plant_Information!$B$12</f>
        <v>CLEVELAND, OH, 44115</v>
      </c>
      <c r="AA427" s="131" t="str">
        <f>+Plant_Information!$B$13</f>
        <v>12</v>
      </c>
      <c r="AB427" s="131" t="str">
        <f>+Plant_Information!$B$14</f>
        <v>CUY</v>
      </c>
      <c r="AC427" s="70"/>
    </row>
    <row r="428" spans="17:29" x14ac:dyDescent="0.2">
      <c r="Q428" s="100" t="str">
        <f>Plant_Information!$B$6</f>
        <v>(INSERT VENDOR NAME HERE)</v>
      </c>
      <c r="R428" s="100" t="str">
        <f>'HAULING RATES- ODOT Locations'!$A$6</f>
        <v>District 1</v>
      </c>
      <c r="S428" s="100" t="str">
        <f>'HAULING RATES- ODOT Locations'!A15</f>
        <v>Van Wert</v>
      </c>
      <c r="T428" s="100" t="str">
        <f>'HAULING RATES- ODOT Locations'!B15</f>
        <v>10238 Van Wert-Decatur Rd., Van Wert 45891</v>
      </c>
      <c r="U428" t="str">
        <f>'HAULING RATES- ODOT Locations'!E$8</f>
        <v>Gravel</v>
      </c>
      <c r="V428" s="146">
        <f>'HAULING RATES- ODOT Locations'!E15</f>
        <v>0</v>
      </c>
      <c r="W428" s="131" t="str">
        <f>+'Aggregate, Plant Pick-up'!$C$6</f>
        <v>LAFARGE-MARBLEHEAD "OSBORNE-CLEVELAND"</v>
      </c>
      <c r="X428" s="131" t="str">
        <f>+Plant_Information!$B$10</f>
        <v>04105-28</v>
      </c>
      <c r="Y428" s="131" t="str">
        <f>+Plant_Information!$B$11</f>
        <v>2100 CENTRAL FURNACE ROAD</v>
      </c>
      <c r="Z428" s="131" t="str">
        <f>+Plant_Information!$B$12</f>
        <v>CLEVELAND, OH, 44115</v>
      </c>
      <c r="AA428" s="131" t="str">
        <f>+Plant_Information!$B$13</f>
        <v>12</v>
      </c>
      <c r="AB428" s="131" t="str">
        <f>+Plant_Information!$B$14</f>
        <v>CUY</v>
      </c>
      <c r="AC428" s="70"/>
    </row>
    <row r="429" spans="17:29" x14ac:dyDescent="0.2">
      <c r="Q429" s="100" t="str">
        <f>Plant_Information!$B$6</f>
        <v>(INSERT VENDOR NAME HERE)</v>
      </c>
      <c r="R429" s="100" t="str">
        <f>'HAULING RATES- ODOT Locations'!$A$6</f>
        <v>District 1</v>
      </c>
      <c r="S429" s="100" t="str">
        <f>'HAULING RATES- ODOT Locations'!A16</f>
        <v>Wyandot</v>
      </c>
      <c r="T429" s="100" t="str">
        <f>'HAULING RATES- ODOT Locations'!B16</f>
        <v>10976 County Highway 121, Upper Sandusky 43351</v>
      </c>
      <c r="U429" t="str">
        <f>'HAULING RATES- ODOT Locations'!E$8</f>
        <v>Gravel</v>
      </c>
      <c r="V429" s="146">
        <f>'HAULING RATES- ODOT Locations'!E16</f>
        <v>0</v>
      </c>
      <c r="W429" s="131" t="str">
        <f>+'Aggregate, Plant Pick-up'!$C$6</f>
        <v>LAFARGE-MARBLEHEAD "OSBORNE-CLEVELAND"</v>
      </c>
      <c r="X429" s="131" t="str">
        <f>+Plant_Information!$B$10</f>
        <v>04105-28</v>
      </c>
      <c r="Y429" s="131" t="str">
        <f>+Plant_Information!$B$11</f>
        <v>2100 CENTRAL FURNACE ROAD</v>
      </c>
      <c r="Z429" s="131" t="str">
        <f>+Plant_Information!$B$12</f>
        <v>CLEVELAND, OH, 44115</v>
      </c>
      <c r="AA429" s="131" t="str">
        <f>+Plant_Information!$B$13</f>
        <v>12</v>
      </c>
      <c r="AB429" s="131" t="str">
        <f>+Plant_Information!$B$14</f>
        <v>CUY</v>
      </c>
      <c r="AC429" s="70"/>
    </row>
    <row r="430" spans="17:29" x14ac:dyDescent="0.2">
      <c r="Q430" s="100" t="str">
        <f>Plant_Information!$B$6</f>
        <v>(INSERT VENDOR NAME HERE)</v>
      </c>
      <c r="R430" s="100" t="str">
        <f>'HAULING RATES- ODOT Locations'!$A$17</f>
        <v>District 2</v>
      </c>
      <c r="S430" s="100" t="str">
        <f>'HAULING RATES- ODOT Locations'!A20</f>
        <v>Fulton</v>
      </c>
      <c r="T430" s="100" t="str">
        <f>'HAULING RATES- ODOT Locations'!B20</f>
        <v>8878 State Route 108, Wauseon, Ohio 43567</v>
      </c>
      <c r="U430" t="str">
        <f>'HAULING RATES- ODOT Locations'!E$8</f>
        <v>Gravel</v>
      </c>
      <c r="V430" s="146">
        <f>'HAULING RATES- ODOT Locations'!E20</f>
        <v>0</v>
      </c>
      <c r="W430" s="131" t="str">
        <f>+'Aggregate, Plant Pick-up'!$C$6</f>
        <v>LAFARGE-MARBLEHEAD "OSBORNE-CLEVELAND"</v>
      </c>
      <c r="X430" s="131" t="str">
        <f>+Plant_Information!$B$10</f>
        <v>04105-28</v>
      </c>
      <c r="Y430" s="131" t="str">
        <f>+Plant_Information!$B$11</f>
        <v>2100 CENTRAL FURNACE ROAD</v>
      </c>
      <c r="Z430" s="131" t="str">
        <f>+Plant_Information!$B$12</f>
        <v>CLEVELAND, OH, 44115</v>
      </c>
      <c r="AA430" s="131" t="str">
        <f>+Plant_Information!$B$13</f>
        <v>12</v>
      </c>
      <c r="AB430" s="131" t="str">
        <f>+Plant_Information!$B$14</f>
        <v>CUY</v>
      </c>
      <c r="AC430" s="70"/>
    </row>
    <row r="431" spans="17:29" x14ac:dyDescent="0.2">
      <c r="Q431" s="100" t="str">
        <f>Plant_Information!$B$6</f>
        <v>(INSERT VENDOR NAME HERE)</v>
      </c>
      <c r="R431" s="100" t="str">
        <f>'HAULING RATES- ODOT Locations'!$A$17</f>
        <v>District 2</v>
      </c>
      <c r="S431" s="100" t="str">
        <f>'HAULING RATES- ODOT Locations'!A21</f>
        <v>Henry</v>
      </c>
      <c r="T431" s="100" t="str">
        <f>'HAULING RATES- ODOT Locations'!B21</f>
        <v>9733 SR 110 Napoleon, Oh 43545</v>
      </c>
      <c r="U431" t="str">
        <f>'HAULING RATES- ODOT Locations'!E$8</f>
        <v>Gravel</v>
      </c>
      <c r="V431" s="146">
        <f>'HAULING RATES- ODOT Locations'!E21</f>
        <v>0</v>
      </c>
      <c r="W431" s="131" t="str">
        <f>+'Aggregate, Plant Pick-up'!$C$6</f>
        <v>LAFARGE-MARBLEHEAD "OSBORNE-CLEVELAND"</v>
      </c>
      <c r="X431" s="131" t="str">
        <f>+Plant_Information!$B$10</f>
        <v>04105-28</v>
      </c>
      <c r="Y431" s="131" t="str">
        <f>+Plant_Information!$B$11</f>
        <v>2100 CENTRAL FURNACE ROAD</v>
      </c>
      <c r="Z431" s="131" t="str">
        <f>+Plant_Information!$B$12</f>
        <v>CLEVELAND, OH, 44115</v>
      </c>
      <c r="AA431" s="131" t="str">
        <f>+Plant_Information!$B$13</f>
        <v>12</v>
      </c>
      <c r="AB431" s="131" t="str">
        <f>+Plant_Information!$B$14</f>
        <v>CUY</v>
      </c>
      <c r="AC431" s="70"/>
    </row>
    <row r="432" spans="17:29" x14ac:dyDescent="0.2">
      <c r="Q432" s="100" t="str">
        <f>Plant_Information!$B$6</f>
        <v>(INSERT VENDOR NAME HERE)</v>
      </c>
      <c r="R432" s="100" t="str">
        <f>'HAULING RATES- ODOT Locations'!$A$17</f>
        <v>District 2</v>
      </c>
      <c r="S432" s="100" t="str">
        <f>'HAULING RATES- ODOT Locations'!A22</f>
        <v>Lucas</v>
      </c>
      <c r="T432" s="100" t="str">
        <f>'HAULING RATES- ODOT Locations'!B22</f>
        <v>4080 Technology Dr. Maumee, Oh 43537</v>
      </c>
      <c r="U432" t="str">
        <f>'HAULING RATES- ODOT Locations'!E$8</f>
        <v>Gravel</v>
      </c>
      <c r="V432" s="146">
        <f>'HAULING RATES- ODOT Locations'!E22</f>
        <v>0</v>
      </c>
      <c r="W432" s="131" t="str">
        <f>+'Aggregate, Plant Pick-up'!$C$6</f>
        <v>LAFARGE-MARBLEHEAD "OSBORNE-CLEVELAND"</v>
      </c>
      <c r="X432" s="131" t="str">
        <f>+Plant_Information!$B$10</f>
        <v>04105-28</v>
      </c>
      <c r="Y432" s="131" t="str">
        <f>+Plant_Information!$B$11</f>
        <v>2100 CENTRAL FURNACE ROAD</v>
      </c>
      <c r="Z432" s="131" t="str">
        <f>+Plant_Information!$B$12</f>
        <v>CLEVELAND, OH, 44115</v>
      </c>
      <c r="AA432" s="131" t="str">
        <f>+Plant_Information!$B$13</f>
        <v>12</v>
      </c>
      <c r="AB432" s="131" t="str">
        <f>+Plant_Information!$B$14</f>
        <v>CUY</v>
      </c>
      <c r="AC432" s="70"/>
    </row>
    <row r="433" spans="17:29" x14ac:dyDescent="0.2">
      <c r="Q433" s="100" t="str">
        <f>Plant_Information!$B$6</f>
        <v>(INSERT VENDOR NAME HERE)</v>
      </c>
      <c r="R433" s="100" t="str">
        <f>'HAULING RATES- ODOT Locations'!$A$17</f>
        <v>District 2</v>
      </c>
      <c r="S433" s="100" t="str">
        <f>'HAULING RATES- ODOT Locations'!A23</f>
        <v>Ottawa</v>
      </c>
      <c r="T433" s="100" t="str">
        <f>'HAULING RATES- ODOT Locations'!B23</f>
        <v>307 S. Railroad St., Oak Harbor</v>
      </c>
      <c r="U433" t="str">
        <f>'HAULING RATES- ODOT Locations'!E$8</f>
        <v>Gravel</v>
      </c>
      <c r="V433" s="146">
        <f>'HAULING RATES- ODOT Locations'!E23</f>
        <v>0</v>
      </c>
      <c r="W433" s="131" t="str">
        <f>+'Aggregate, Plant Pick-up'!$C$6</f>
        <v>LAFARGE-MARBLEHEAD "OSBORNE-CLEVELAND"</v>
      </c>
      <c r="X433" s="131" t="str">
        <f>+Plant_Information!$B$10</f>
        <v>04105-28</v>
      </c>
      <c r="Y433" s="131" t="str">
        <f>+Plant_Information!$B$11</f>
        <v>2100 CENTRAL FURNACE ROAD</v>
      </c>
      <c r="Z433" s="131" t="str">
        <f>+Plant_Information!$B$12</f>
        <v>CLEVELAND, OH, 44115</v>
      </c>
      <c r="AA433" s="131" t="str">
        <f>+Plant_Information!$B$13</f>
        <v>12</v>
      </c>
      <c r="AB433" s="131" t="str">
        <f>+Plant_Information!$B$14</f>
        <v>CUY</v>
      </c>
      <c r="AC433" s="70"/>
    </row>
    <row r="434" spans="17:29" x14ac:dyDescent="0.2">
      <c r="Q434" s="100" t="str">
        <f>Plant_Information!$B$6</f>
        <v>(INSERT VENDOR NAME HERE)</v>
      </c>
      <c r="R434" s="100" t="str">
        <f>'HAULING RATES- ODOT Locations'!$A$17</f>
        <v>District 2</v>
      </c>
      <c r="S434" s="100" t="str">
        <f>'HAULING RATES- ODOT Locations'!A24</f>
        <v>Ottawa</v>
      </c>
      <c r="T434" s="100" t="str">
        <f>'HAULING RATES- ODOT Locations'!B24</f>
        <v>Edison Bridge Outpost, 4560 E. Bayshore Rd. 43452, Port Clinton</v>
      </c>
      <c r="U434" t="str">
        <f>'HAULING RATES- ODOT Locations'!E$8</f>
        <v>Gravel</v>
      </c>
      <c r="V434" s="146">
        <f>'HAULING RATES- ODOT Locations'!E24</f>
        <v>0</v>
      </c>
      <c r="W434" s="131" t="str">
        <f>+'Aggregate, Plant Pick-up'!$C$6</f>
        <v>LAFARGE-MARBLEHEAD "OSBORNE-CLEVELAND"</v>
      </c>
      <c r="X434" s="131" t="str">
        <f>+Plant_Information!$B$10</f>
        <v>04105-28</v>
      </c>
      <c r="Y434" s="131" t="str">
        <f>+Plant_Information!$B$11</f>
        <v>2100 CENTRAL FURNACE ROAD</v>
      </c>
      <c r="Z434" s="131" t="str">
        <f>+Plant_Information!$B$12</f>
        <v>CLEVELAND, OH, 44115</v>
      </c>
      <c r="AA434" s="131" t="str">
        <f>+Plant_Information!$B$13</f>
        <v>12</v>
      </c>
      <c r="AB434" s="131" t="str">
        <f>+Plant_Information!$B$14</f>
        <v>CUY</v>
      </c>
      <c r="AC434" s="70"/>
    </row>
    <row r="435" spans="17:29" x14ac:dyDescent="0.2">
      <c r="Q435" s="100" t="str">
        <f>Plant_Information!$B$6</f>
        <v>(INSERT VENDOR NAME HERE)</v>
      </c>
      <c r="R435" s="100" t="str">
        <f>'HAULING RATES- ODOT Locations'!$A$17</f>
        <v>District 2</v>
      </c>
      <c r="S435" s="100" t="str">
        <f>'HAULING RATES- ODOT Locations'!A25</f>
        <v>Sandusky</v>
      </c>
      <c r="T435" s="100" t="str">
        <f>'HAULING RATES- ODOT Locations'!B25</f>
        <v>1891 N. State Route 53, Fremont, Ohio 43420</v>
      </c>
      <c r="U435" t="str">
        <f>'HAULING RATES- ODOT Locations'!E$8</f>
        <v>Gravel</v>
      </c>
      <c r="V435" s="146">
        <f>'HAULING RATES- ODOT Locations'!E25</f>
        <v>0</v>
      </c>
      <c r="W435" s="131" t="str">
        <f>+'Aggregate, Plant Pick-up'!$C$6</f>
        <v>LAFARGE-MARBLEHEAD "OSBORNE-CLEVELAND"</v>
      </c>
      <c r="X435" s="131" t="str">
        <f>+Plant_Information!$B$10</f>
        <v>04105-28</v>
      </c>
      <c r="Y435" s="131" t="str">
        <f>+Plant_Information!$B$11</f>
        <v>2100 CENTRAL FURNACE ROAD</v>
      </c>
      <c r="Z435" s="131" t="str">
        <f>+Plant_Information!$B$12</f>
        <v>CLEVELAND, OH, 44115</v>
      </c>
      <c r="AA435" s="131" t="str">
        <f>+Plant_Information!$B$13</f>
        <v>12</v>
      </c>
      <c r="AB435" s="131" t="str">
        <f>+Plant_Information!$B$14</f>
        <v>CUY</v>
      </c>
      <c r="AC435" s="70"/>
    </row>
    <row r="436" spans="17:29" x14ac:dyDescent="0.2">
      <c r="Q436" s="100" t="str">
        <f>Plant_Information!$B$6</f>
        <v>(INSERT VENDOR NAME HERE)</v>
      </c>
      <c r="R436" s="100" t="str">
        <f>'HAULING RATES- ODOT Locations'!$A$17</f>
        <v>District 2</v>
      </c>
      <c r="S436" s="100" t="str">
        <f>'HAULING RATES- ODOT Locations'!A26</f>
        <v>Seneca</v>
      </c>
      <c r="T436" s="100" t="str">
        <f>'HAULING RATES- ODOT Locations'!B26</f>
        <v>3390 S. SR 100, Tiffin</v>
      </c>
      <c r="U436" t="str">
        <f>'HAULING RATES- ODOT Locations'!E$8</f>
        <v>Gravel</v>
      </c>
      <c r="V436" s="146">
        <f>'HAULING RATES- ODOT Locations'!E26</f>
        <v>0</v>
      </c>
      <c r="W436" s="131" t="str">
        <f>+'Aggregate, Plant Pick-up'!$C$6</f>
        <v>LAFARGE-MARBLEHEAD "OSBORNE-CLEVELAND"</v>
      </c>
      <c r="X436" s="131" t="str">
        <f>+Plant_Information!$B$10</f>
        <v>04105-28</v>
      </c>
      <c r="Y436" s="131" t="str">
        <f>+Plant_Information!$B$11</f>
        <v>2100 CENTRAL FURNACE ROAD</v>
      </c>
      <c r="Z436" s="131" t="str">
        <f>+Plant_Information!$B$12</f>
        <v>CLEVELAND, OH, 44115</v>
      </c>
      <c r="AA436" s="131" t="str">
        <f>+Plant_Information!$B$13</f>
        <v>12</v>
      </c>
      <c r="AB436" s="131" t="str">
        <f>+Plant_Information!$B$14</f>
        <v>CUY</v>
      </c>
      <c r="AC436" s="70"/>
    </row>
    <row r="437" spans="17:29" x14ac:dyDescent="0.2">
      <c r="Q437" s="100" t="str">
        <f>Plant_Information!$B$6</f>
        <v>(INSERT VENDOR NAME HERE)</v>
      </c>
      <c r="R437" s="100" t="str">
        <f>'HAULING RATES- ODOT Locations'!$A$17</f>
        <v>District 2</v>
      </c>
      <c r="S437" s="100" t="str">
        <f>'HAULING RATES- ODOT Locations'!A27</f>
        <v>Williams</v>
      </c>
      <c r="T437" s="100" t="str">
        <f>'HAULING RATES- ODOT Locations'!B27</f>
        <v>1825 Magda Dr., Montpelier</v>
      </c>
      <c r="U437" t="str">
        <f>'HAULING RATES- ODOT Locations'!E$8</f>
        <v>Gravel</v>
      </c>
      <c r="V437" s="146">
        <f>'HAULING RATES- ODOT Locations'!E27</f>
        <v>0</v>
      </c>
      <c r="W437" s="131" t="str">
        <f>+'Aggregate, Plant Pick-up'!$C$6</f>
        <v>LAFARGE-MARBLEHEAD "OSBORNE-CLEVELAND"</v>
      </c>
      <c r="X437" s="131" t="str">
        <f>+Plant_Information!$B$10</f>
        <v>04105-28</v>
      </c>
      <c r="Y437" s="131" t="str">
        <f>+Plant_Information!$B$11</f>
        <v>2100 CENTRAL FURNACE ROAD</v>
      </c>
      <c r="Z437" s="131" t="str">
        <f>+Plant_Information!$B$12</f>
        <v>CLEVELAND, OH, 44115</v>
      </c>
      <c r="AA437" s="131" t="str">
        <f>+Plant_Information!$B$13</f>
        <v>12</v>
      </c>
      <c r="AB437" s="131" t="str">
        <f>+Plant_Information!$B$14</f>
        <v>CUY</v>
      </c>
      <c r="AC437" s="70"/>
    </row>
    <row r="438" spans="17:29" x14ac:dyDescent="0.2">
      <c r="Q438" s="100" t="str">
        <f>Plant_Information!$B$6</f>
        <v>(INSERT VENDOR NAME HERE)</v>
      </c>
      <c r="R438" s="100" t="str">
        <f>'HAULING RATES- ODOT Locations'!$A$17</f>
        <v>District 2</v>
      </c>
      <c r="S438" s="100" t="str">
        <f>'HAULING RATES- ODOT Locations'!A28</f>
        <v>Wood</v>
      </c>
      <c r="T438" s="100" t="str">
        <f>'HAULING RATES- ODOT Locations'!B28</f>
        <v>955 Mitchell Rd. Bowling Green, Oh 43402</v>
      </c>
      <c r="U438" t="str">
        <f>'HAULING RATES- ODOT Locations'!E$8</f>
        <v>Gravel</v>
      </c>
      <c r="V438" s="146">
        <f>'HAULING RATES- ODOT Locations'!E28</f>
        <v>0</v>
      </c>
      <c r="W438" s="131" t="str">
        <f>+'Aggregate, Plant Pick-up'!$C$6</f>
        <v>LAFARGE-MARBLEHEAD "OSBORNE-CLEVELAND"</v>
      </c>
      <c r="X438" s="131" t="str">
        <f>+Plant_Information!$B$10</f>
        <v>04105-28</v>
      </c>
      <c r="Y438" s="131" t="str">
        <f>+Plant_Information!$B$11</f>
        <v>2100 CENTRAL FURNACE ROAD</v>
      </c>
      <c r="Z438" s="131" t="str">
        <f>+Plant_Information!$B$12</f>
        <v>CLEVELAND, OH, 44115</v>
      </c>
      <c r="AA438" s="131" t="str">
        <f>+Plant_Information!$B$13</f>
        <v>12</v>
      </c>
      <c r="AB438" s="131" t="str">
        <f>+Plant_Information!$B$14</f>
        <v>CUY</v>
      </c>
      <c r="AC438" s="70"/>
    </row>
    <row r="439" spans="17:29" x14ac:dyDescent="0.2">
      <c r="Q439" s="100" t="str">
        <f>Plant_Information!$B$6</f>
        <v>(INSERT VENDOR NAME HERE)</v>
      </c>
      <c r="R439" s="100" t="str">
        <f>'HAULING RATES- ODOT Locations'!$A$17</f>
        <v>District 2</v>
      </c>
      <c r="S439" s="100" t="str">
        <f>'HAULING RATES- ODOT Locations'!A29</f>
        <v>Wood</v>
      </c>
      <c r="T439" s="100" t="str">
        <f>'HAULING RATES- ODOT Locations'!B29</f>
        <v>1218 Business Park Dr. S, North Baltimore, OH 45872</v>
      </c>
      <c r="U439" t="str">
        <f>'HAULING RATES- ODOT Locations'!E$8</f>
        <v>Gravel</v>
      </c>
      <c r="V439" s="146">
        <f>'HAULING RATES- ODOT Locations'!E29</f>
        <v>0</v>
      </c>
      <c r="W439" s="131" t="str">
        <f>+'Aggregate, Plant Pick-up'!$C$6</f>
        <v>LAFARGE-MARBLEHEAD "OSBORNE-CLEVELAND"</v>
      </c>
      <c r="X439" s="131" t="str">
        <f>+Plant_Information!$B$10</f>
        <v>04105-28</v>
      </c>
      <c r="Y439" s="131" t="str">
        <f>+Plant_Information!$B$11</f>
        <v>2100 CENTRAL FURNACE ROAD</v>
      </c>
      <c r="Z439" s="131" t="str">
        <f>+Plant_Information!$B$12</f>
        <v>CLEVELAND, OH, 44115</v>
      </c>
      <c r="AA439" s="131" t="str">
        <f>+Plant_Information!$B$13</f>
        <v>12</v>
      </c>
      <c r="AB439" s="131" t="str">
        <f>+Plant_Information!$B$14</f>
        <v>CUY</v>
      </c>
      <c r="AC439" s="70"/>
    </row>
    <row r="440" spans="17:29" x14ac:dyDescent="0.2">
      <c r="Q440" s="100" t="str">
        <f>Plant_Information!$B$6</f>
        <v>(INSERT VENDOR NAME HERE)</v>
      </c>
      <c r="R440" s="100" t="str">
        <f>'HAULING RATES- ODOT Locations'!$A$17</f>
        <v>District 2</v>
      </c>
      <c r="S440" s="100" t="str">
        <f>'HAULING RATES- ODOT Locations'!A30</f>
        <v>Wood</v>
      </c>
      <c r="T440" s="100" t="str">
        <f>'HAULING RATES- ODOT Locations'!B30</f>
        <v>200 Lemoyne Rd., Northwood</v>
      </c>
      <c r="U440" t="str">
        <f>'HAULING RATES- ODOT Locations'!E$8</f>
        <v>Gravel</v>
      </c>
      <c r="V440" s="146">
        <f>'HAULING RATES- ODOT Locations'!E30</f>
        <v>0</v>
      </c>
      <c r="W440" s="131" t="str">
        <f>+'Aggregate, Plant Pick-up'!$C$6</f>
        <v>LAFARGE-MARBLEHEAD "OSBORNE-CLEVELAND"</v>
      </c>
      <c r="X440" s="131" t="str">
        <f>+Plant_Information!$B$10</f>
        <v>04105-28</v>
      </c>
      <c r="Y440" s="131" t="str">
        <f>+Plant_Information!$B$11</f>
        <v>2100 CENTRAL FURNACE ROAD</v>
      </c>
      <c r="Z440" s="131" t="str">
        <f>+Plant_Information!$B$12</f>
        <v>CLEVELAND, OH, 44115</v>
      </c>
      <c r="AA440" s="131" t="str">
        <f>+Plant_Information!$B$13</f>
        <v>12</v>
      </c>
      <c r="AB440" s="131" t="str">
        <f>+Plant_Information!$B$14</f>
        <v>CUY</v>
      </c>
      <c r="AC440" s="70"/>
    </row>
    <row r="441" spans="17:29" x14ac:dyDescent="0.2">
      <c r="Q441" s="100" t="str">
        <f>Plant_Information!$B$6</f>
        <v>(INSERT VENDOR NAME HERE)</v>
      </c>
      <c r="R441" s="100" t="str">
        <f>'HAULING RATES- ODOT Locations'!$A$31</f>
        <v>District 3</v>
      </c>
      <c r="S441" s="100" t="str">
        <f>'HAULING RATES- ODOT Locations'!A34</f>
        <v>Ashland</v>
      </c>
      <c r="T441" s="100" t="str">
        <f>'HAULING RATES- ODOT Locations'!B34</f>
        <v>946 N. Clark St., Ashland, OH 44805</v>
      </c>
      <c r="U441" t="str">
        <f>'HAULING RATES- ODOT Locations'!E$8</f>
        <v>Gravel</v>
      </c>
      <c r="V441" s="146">
        <f>'HAULING RATES- ODOT Locations'!E34</f>
        <v>0</v>
      </c>
      <c r="W441" s="131" t="str">
        <f>+'Aggregate, Plant Pick-up'!$C$6</f>
        <v>LAFARGE-MARBLEHEAD "OSBORNE-CLEVELAND"</v>
      </c>
      <c r="X441" s="131" t="str">
        <f>+Plant_Information!$B$10</f>
        <v>04105-28</v>
      </c>
      <c r="Y441" s="131" t="str">
        <f>+Plant_Information!$B$11</f>
        <v>2100 CENTRAL FURNACE ROAD</v>
      </c>
      <c r="Z441" s="131" t="str">
        <f>+Plant_Information!$B$12</f>
        <v>CLEVELAND, OH, 44115</v>
      </c>
      <c r="AA441" s="131" t="str">
        <f>+Plant_Information!$B$13</f>
        <v>12</v>
      </c>
      <c r="AB441" s="131" t="str">
        <f>+Plant_Information!$B$14</f>
        <v>CUY</v>
      </c>
      <c r="AC441" s="70"/>
    </row>
    <row r="442" spans="17:29" x14ac:dyDescent="0.2">
      <c r="Q442" s="100" t="str">
        <f>Plant_Information!$B$6</f>
        <v>(INSERT VENDOR NAME HERE)</v>
      </c>
      <c r="R442" s="100" t="str">
        <f>'HAULING RATES- ODOT Locations'!$A$31</f>
        <v>District 3</v>
      </c>
      <c r="S442" s="100" t="str">
        <f>'HAULING RATES- ODOT Locations'!A35</f>
        <v>Ashland</v>
      </c>
      <c r="T442" s="100" t="str">
        <f>'HAULING RATES- ODOT Locations'!B35</f>
        <v>2595 St. Rt. 39, Perrysville, OH 44864</v>
      </c>
      <c r="U442" t="str">
        <f>'HAULING RATES- ODOT Locations'!E$8</f>
        <v>Gravel</v>
      </c>
      <c r="V442" s="146">
        <f>'HAULING RATES- ODOT Locations'!E35</f>
        <v>0</v>
      </c>
      <c r="W442" s="131" t="str">
        <f>+'Aggregate, Plant Pick-up'!$C$6</f>
        <v>LAFARGE-MARBLEHEAD "OSBORNE-CLEVELAND"</v>
      </c>
      <c r="X442" s="131" t="str">
        <f>+Plant_Information!$B$10</f>
        <v>04105-28</v>
      </c>
      <c r="Y442" s="131" t="str">
        <f>+Plant_Information!$B$11</f>
        <v>2100 CENTRAL FURNACE ROAD</v>
      </c>
      <c r="Z442" s="131" t="str">
        <f>+Plant_Information!$B$12</f>
        <v>CLEVELAND, OH, 44115</v>
      </c>
      <c r="AA442" s="131" t="str">
        <f>+Plant_Information!$B$13</f>
        <v>12</v>
      </c>
      <c r="AB442" s="131" t="str">
        <f>+Plant_Information!$B$14</f>
        <v>CUY</v>
      </c>
      <c r="AC442" s="70"/>
    </row>
    <row r="443" spans="17:29" x14ac:dyDescent="0.2">
      <c r="Q443" s="100" t="str">
        <f>Plant_Information!$B$6</f>
        <v>(INSERT VENDOR NAME HERE)</v>
      </c>
      <c r="R443" s="100" t="str">
        <f>'HAULING RATES- ODOT Locations'!$A$31</f>
        <v>District 3</v>
      </c>
      <c r="S443" s="100" t="str">
        <f>'HAULING RATES- ODOT Locations'!A36</f>
        <v>Crawford</v>
      </c>
      <c r="T443" s="100" t="str">
        <f>'HAULING RATES- ODOT Locations'!B36</f>
        <v>275 Crossroads Blvd., Bucyrus OH 44820</v>
      </c>
      <c r="U443" t="str">
        <f>'HAULING RATES- ODOT Locations'!E$8</f>
        <v>Gravel</v>
      </c>
      <c r="V443" s="146">
        <f>'HAULING RATES- ODOT Locations'!E36</f>
        <v>0</v>
      </c>
      <c r="W443" s="131" t="str">
        <f>+'Aggregate, Plant Pick-up'!$C$6</f>
        <v>LAFARGE-MARBLEHEAD "OSBORNE-CLEVELAND"</v>
      </c>
      <c r="X443" s="131" t="str">
        <f>+Plant_Information!$B$10</f>
        <v>04105-28</v>
      </c>
      <c r="Y443" s="131" t="str">
        <f>+Plant_Information!$B$11</f>
        <v>2100 CENTRAL FURNACE ROAD</v>
      </c>
      <c r="Z443" s="131" t="str">
        <f>+Plant_Information!$B$12</f>
        <v>CLEVELAND, OH, 44115</v>
      </c>
      <c r="AA443" s="131" t="str">
        <f>+Plant_Information!$B$13</f>
        <v>12</v>
      </c>
      <c r="AB443" s="131" t="str">
        <f>+Plant_Information!$B$14</f>
        <v>CUY</v>
      </c>
      <c r="AC443" s="70"/>
    </row>
    <row r="444" spans="17:29" x14ac:dyDescent="0.2">
      <c r="Q444" s="100" t="str">
        <f>Plant_Information!$B$6</f>
        <v>(INSERT VENDOR NAME HERE)</v>
      </c>
      <c r="R444" s="100" t="str">
        <f>'HAULING RATES- ODOT Locations'!$A$31</f>
        <v>District 3</v>
      </c>
      <c r="S444" s="100" t="str">
        <f>'HAULING RATES- ODOT Locations'!A37</f>
        <v>Erie</v>
      </c>
      <c r="T444" s="100" t="str">
        <f>'HAULING RATES- ODOT Locations'!B37</f>
        <v>165 South Huron St. , Milan, OH 44846</v>
      </c>
      <c r="U444" t="str">
        <f>'HAULING RATES- ODOT Locations'!E$8</f>
        <v>Gravel</v>
      </c>
      <c r="V444" s="146">
        <f>'HAULING RATES- ODOT Locations'!E37</f>
        <v>0</v>
      </c>
      <c r="W444" s="131" t="str">
        <f>+'Aggregate, Plant Pick-up'!$C$6</f>
        <v>LAFARGE-MARBLEHEAD "OSBORNE-CLEVELAND"</v>
      </c>
      <c r="X444" s="131" t="str">
        <f>+Plant_Information!$B$10</f>
        <v>04105-28</v>
      </c>
      <c r="Y444" s="131" t="str">
        <f>+Plant_Information!$B$11</f>
        <v>2100 CENTRAL FURNACE ROAD</v>
      </c>
      <c r="Z444" s="131" t="str">
        <f>+Plant_Information!$B$12</f>
        <v>CLEVELAND, OH, 44115</v>
      </c>
      <c r="AA444" s="131" t="str">
        <f>+Plant_Information!$B$13</f>
        <v>12</v>
      </c>
      <c r="AB444" s="131" t="str">
        <f>+Plant_Information!$B$14</f>
        <v>CUY</v>
      </c>
      <c r="AC444" s="70"/>
    </row>
    <row r="445" spans="17:29" x14ac:dyDescent="0.2">
      <c r="Q445" s="100" t="str">
        <f>Plant_Information!$B$6</f>
        <v>(INSERT VENDOR NAME HERE)</v>
      </c>
      <c r="R445" s="100" t="str">
        <f>'HAULING RATES- ODOT Locations'!$A$31</f>
        <v>District 3</v>
      </c>
      <c r="S445" s="100" t="str">
        <f>'HAULING RATES- ODOT Locations'!A38</f>
        <v>Erie</v>
      </c>
      <c r="T445" s="100" t="str">
        <f>'HAULING RATES- ODOT Locations'!B38</f>
        <v>14420 Kneisel Rd., Vermilion, OH 44089</v>
      </c>
      <c r="U445" t="str">
        <f>'HAULING RATES- ODOT Locations'!E$8</f>
        <v>Gravel</v>
      </c>
      <c r="V445" s="146">
        <f>'HAULING RATES- ODOT Locations'!E38</f>
        <v>0</v>
      </c>
      <c r="W445" s="131" t="str">
        <f>+'Aggregate, Plant Pick-up'!$C$6</f>
        <v>LAFARGE-MARBLEHEAD "OSBORNE-CLEVELAND"</v>
      </c>
      <c r="X445" s="131" t="str">
        <f>+Plant_Information!$B$10</f>
        <v>04105-28</v>
      </c>
      <c r="Y445" s="131" t="str">
        <f>+Plant_Information!$B$11</f>
        <v>2100 CENTRAL FURNACE ROAD</v>
      </c>
      <c r="Z445" s="131" t="str">
        <f>+Plant_Information!$B$12</f>
        <v>CLEVELAND, OH, 44115</v>
      </c>
      <c r="AA445" s="131" t="str">
        <f>+Plant_Information!$B$13</f>
        <v>12</v>
      </c>
      <c r="AB445" s="131" t="str">
        <f>+Plant_Information!$B$14</f>
        <v>CUY</v>
      </c>
      <c r="AC445" s="70"/>
    </row>
    <row r="446" spans="17:29" x14ac:dyDescent="0.2">
      <c r="Q446" s="100" t="str">
        <f>Plant_Information!$B$6</f>
        <v>(INSERT VENDOR NAME HERE)</v>
      </c>
      <c r="R446" s="100" t="str">
        <f>'HAULING RATES- ODOT Locations'!$A$31</f>
        <v>District 3</v>
      </c>
      <c r="S446" s="100" t="str">
        <f>'HAULING RATES- ODOT Locations'!A39</f>
        <v>Huron</v>
      </c>
      <c r="T446" s="100" t="str">
        <f>'HAULING RATES- ODOT Locations'!B39</f>
        <v>760 Dublin Rd., Norwalk, OH 44857</v>
      </c>
      <c r="U446" t="str">
        <f>'HAULING RATES- ODOT Locations'!E$8</f>
        <v>Gravel</v>
      </c>
      <c r="V446" s="146">
        <f>'HAULING RATES- ODOT Locations'!E39</f>
        <v>0</v>
      </c>
      <c r="W446" s="131" t="str">
        <f>+'Aggregate, Plant Pick-up'!$C$6</f>
        <v>LAFARGE-MARBLEHEAD "OSBORNE-CLEVELAND"</v>
      </c>
      <c r="X446" s="131" t="str">
        <f>+Plant_Information!$B$10</f>
        <v>04105-28</v>
      </c>
      <c r="Y446" s="131" t="str">
        <f>+Plant_Information!$B$11</f>
        <v>2100 CENTRAL FURNACE ROAD</v>
      </c>
      <c r="Z446" s="131" t="str">
        <f>+Plant_Information!$B$12</f>
        <v>CLEVELAND, OH, 44115</v>
      </c>
      <c r="AA446" s="131" t="str">
        <f>+Plant_Information!$B$13</f>
        <v>12</v>
      </c>
      <c r="AB446" s="131" t="str">
        <f>+Plant_Information!$B$14</f>
        <v>CUY</v>
      </c>
      <c r="AC446" s="70"/>
    </row>
    <row r="447" spans="17:29" x14ac:dyDescent="0.2">
      <c r="Q447" s="100" t="str">
        <f>Plant_Information!$B$6</f>
        <v>(INSERT VENDOR NAME HERE)</v>
      </c>
      <c r="R447" s="100" t="str">
        <f>'HAULING RATES- ODOT Locations'!$A$31</f>
        <v>District 3</v>
      </c>
      <c r="S447" s="100" t="str">
        <f>'HAULING RATES- ODOT Locations'!A40</f>
        <v>Huron</v>
      </c>
      <c r="T447" s="100" t="str">
        <f>'HAULING RATES- ODOT Locations'!B40</f>
        <v>3000 Sandusky St. (route 61) Plymouth, Ohio 44865</v>
      </c>
      <c r="U447" t="str">
        <f>'HAULING RATES- ODOT Locations'!E$8</f>
        <v>Gravel</v>
      </c>
      <c r="V447" s="146">
        <f>'HAULING RATES- ODOT Locations'!E40</f>
        <v>0</v>
      </c>
      <c r="W447" s="131" t="str">
        <f>+'Aggregate, Plant Pick-up'!$C$6</f>
        <v>LAFARGE-MARBLEHEAD "OSBORNE-CLEVELAND"</v>
      </c>
      <c r="X447" s="131" t="str">
        <f>+Plant_Information!$B$10</f>
        <v>04105-28</v>
      </c>
      <c r="Y447" s="131" t="str">
        <f>+Plant_Information!$B$11</f>
        <v>2100 CENTRAL FURNACE ROAD</v>
      </c>
      <c r="Z447" s="131" t="str">
        <f>+Plant_Information!$B$12</f>
        <v>CLEVELAND, OH, 44115</v>
      </c>
      <c r="AA447" s="131" t="str">
        <f>+Plant_Information!$B$13</f>
        <v>12</v>
      </c>
      <c r="AB447" s="131" t="str">
        <f>+Plant_Information!$B$14</f>
        <v>CUY</v>
      </c>
      <c r="AC447" s="70"/>
    </row>
    <row r="448" spans="17:29" x14ac:dyDescent="0.2">
      <c r="Q448" s="100" t="str">
        <f>Plant_Information!$B$6</f>
        <v>(INSERT VENDOR NAME HERE)</v>
      </c>
      <c r="R448" s="100" t="str">
        <f>'HAULING RATES- ODOT Locations'!$A$31</f>
        <v>District 3</v>
      </c>
      <c r="S448" s="100" t="str">
        <f>'HAULING RATES- ODOT Locations'!A41</f>
        <v>Lorain</v>
      </c>
      <c r="T448" s="100" t="str">
        <f>'HAULING RATES- ODOT Locations'!B41</f>
        <v>405 West Lorain St. &amp; S.R. 511, Oberlin, OH 44074</v>
      </c>
      <c r="U448" t="str">
        <f>'HAULING RATES- ODOT Locations'!E$8</f>
        <v>Gravel</v>
      </c>
      <c r="V448" s="146">
        <f>'HAULING RATES- ODOT Locations'!E41</f>
        <v>0</v>
      </c>
      <c r="W448" s="131" t="str">
        <f>+'Aggregate, Plant Pick-up'!$C$6</f>
        <v>LAFARGE-MARBLEHEAD "OSBORNE-CLEVELAND"</v>
      </c>
      <c r="X448" s="131" t="str">
        <f>+Plant_Information!$B$10</f>
        <v>04105-28</v>
      </c>
      <c r="Y448" s="131" t="str">
        <f>+Plant_Information!$B$11</f>
        <v>2100 CENTRAL FURNACE ROAD</v>
      </c>
      <c r="Z448" s="131" t="str">
        <f>+Plant_Information!$B$12</f>
        <v>CLEVELAND, OH, 44115</v>
      </c>
      <c r="AA448" s="131" t="str">
        <f>+Plant_Information!$B$13</f>
        <v>12</v>
      </c>
      <c r="AB448" s="131" t="str">
        <f>+Plant_Information!$B$14</f>
        <v>CUY</v>
      </c>
      <c r="AC448" s="70"/>
    </row>
    <row r="449" spans="17:29" x14ac:dyDescent="0.2">
      <c r="Q449" s="100" t="str">
        <f>Plant_Information!$B$6</f>
        <v>(INSERT VENDOR NAME HERE)</v>
      </c>
      <c r="R449" s="100" t="str">
        <f>'HAULING RATES- ODOT Locations'!$A$31</f>
        <v>District 3</v>
      </c>
      <c r="S449" s="100" t="str">
        <f>'HAULING RATES- ODOT Locations'!A42</f>
        <v>Lorain</v>
      </c>
      <c r="T449" s="100" t="str">
        <f>'HAULING RATES- ODOT Locations'!B42</f>
        <v>1749 Moore Rd., Avon, OH 44011</v>
      </c>
      <c r="U449" t="str">
        <f>'HAULING RATES- ODOT Locations'!E$8</f>
        <v>Gravel</v>
      </c>
      <c r="V449" s="146">
        <f>'HAULING RATES- ODOT Locations'!E42</f>
        <v>0</v>
      </c>
      <c r="W449" s="131" t="str">
        <f>+'Aggregate, Plant Pick-up'!$C$6</f>
        <v>LAFARGE-MARBLEHEAD "OSBORNE-CLEVELAND"</v>
      </c>
      <c r="X449" s="131" t="str">
        <f>+Plant_Information!$B$10</f>
        <v>04105-28</v>
      </c>
      <c r="Y449" s="131" t="str">
        <f>+Plant_Information!$B$11</f>
        <v>2100 CENTRAL FURNACE ROAD</v>
      </c>
      <c r="Z449" s="131" t="str">
        <f>+Plant_Information!$B$12</f>
        <v>CLEVELAND, OH, 44115</v>
      </c>
      <c r="AA449" s="131" t="str">
        <f>+Plant_Information!$B$13</f>
        <v>12</v>
      </c>
      <c r="AB449" s="131" t="str">
        <f>+Plant_Information!$B$14</f>
        <v>CUY</v>
      </c>
      <c r="AC449" s="70"/>
    </row>
    <row r="450" spans="17:29" x14ac:dyDescent="0.2">
      <c r="Q450" s="100" t="str">
        <f>Plant_Information!$B$6</f>
        <v>(INSERT VENDOR NAME HERE)</v>
      </c>
      <c r="R450" s="100" t="str">
        <f>'HAULING RATES- ODOT Locations'!$A$31</f>
        <v>District 3</v>
      </c>
      <c r="S450" s="100" t="str">
        <f>'HAULING RATES- ODOT Locations'!A43</f>
        <v>Lorain</v>
      </c>
      <c r="T450" s="100" t="str">
        <f>'HAULING RATES- ODOT Locations'!B43</f>
        <v>1654 South Avon Belden Road, Grafton, Ohio 44044</v>
      </c>
      <c r="U450" t="str">
        <f>'HAULING RATES- ODOT Locations'!E$8</f>
        <v>Gravel</v>
      </c>
      <c r="V450" s="146">
        <f>'HAULING RATES- ODOT Locations'!E43</f>
        <v>0</v>
      </c>
      <c r="W450" s="131" t="str">
        <f>+'Aggregate, Plant Pick-up'!$C$6</f>
        <v>LAFARGE-MARBLEHEAD "OSBORNE-CLEVELAND"</v>
      </c>
      <c r="X450" s="131" t="str">
        <f>+Plant_Information!$B$10</f>
        <v>04105-28</v>
      </c>
      <c r="Y450" s="131" t="str">
        <f>+Plant_Information!$B$11</f>
        <v>2100 CENTRAL FURNACE ROAD</v>
      </c>
      <c r="Z450" s="131" t="str">
        <f>+Plant_Information!$B$12</f>
        <v>CLEVELAND, OH, 44115</v>
      </c>
      <c r="AA450" s="131" t="str">
        <f>+Plant_Information!$B$13</f>
        <v>12</v>
      </c>
      <c r="AB450" s="131" t="str">
        <f>+Plant_Information!$B$14</f>
        <v>CUY</v>
      </c>
      <c r="AC450" s="70"/>
    </row>
    <row r="451" spans="17:29" x14ac:dyDescent="0.2">
      <c r="Q451" s="100" t="str">
        <f>Plant_Information!$B$6</f>
        <v>(INSERT VENDOR NAME HERE)</v>
      </c>
      <c r="R451" s="100" t="str">
        <f>'HAULING RATES- ODOT Locations'!$A$31</f>
        <v>District 3</v>
      </c>
      <c r="S451" s="100" t="str">
        <f>'HAULING RATES- ODOT Locations'!A44</f>
        <v>Medina</v>
      </c>
      <c r="T451" s="100" t="str">
        <f>'HAULING RATES- ODOT Locations'!B44</f>
        <v>3220 Medina Rd. &amp; St. Rt. 18, Medina, OH 44256</v>
      </c>
      <c r="U451" t="str">
        <f>'HAULING RATES- ODOT Locations'!E$8</f>
        <v>Gravel</v>
      </c>
      <c r="V451" s="146">
        <f>'HAULING RATES- ODOT Locations'!E44</f>
        <v>0</v>
      </c>
      <c r="W451" s="131" t="str">
        <f>+'Aggregate, Plant Pick-up'!$C$6</f>
        <v>LAFARGE-MARBLEHEAD "OSBORNE-CLEVELAND"</v>
      </c>
      <c r="X451" s="131" t="str">
        <f>+Plant_Information!$B$10</f>
        <v>04105-28</v>
      </c>
      <c r="Y451" s="131" t="str">
        <f>+Plant_Information!$B$11</f>
        <v>2100 CENTRAL FURNACE ROAD</v>
      </c>
      <c r="Z451" s="131" t="str">
        <f>+Plant_Information!$B$12</f>
        <v>CLEVELAND, OH, 44115</v>
      </c>
      <c r="AA451" s="131" t="str">
        <f>+Plant_Information!$B$13</f>
        <v>12</v>
      </c>
      <c r="AB451" s="131" t="str">
        <f>+Plant_Information!$B$14</f>
        <v>CUY</v>
      </c>
      <c r="AC451" s="70"/>
    </row>
    <row r="452" spans="17:29" x14ac:dyDescent="0.2">
      <c r="Q452" s="100" t="str">
        <f>Plant_Information!$B$6</f>
        <v>(INSERT VENDOR NAME HERE)</v>
      </c>
      <c r="R452" s="100" t="str">
        <f>'HAULING RATES- ODOT Locations'!$A$31</f>
        <v>District 3</v>
      </c>
      <c r="S452" s="100" t="str">
        <f>'HAULING RATES- ODOT Locations'!A45</f>
        <v>Medina</v>
      </c>
      <c r="T452" s="100" t="str">
        <f>'HAULING RATES- ODOT Locations'!B45</f>
        <v>10224 Avon Lake Rd, Burbank, OH 44214</v>
      </c>
      <c r="U452" t="str">
        <f>'HAULING RATES- ODOT Locations'!E$8</f>
        <v>Gravel</v>
      </c>
      <c r="V452" s="146">
        <f>'HAULING RATES- ODOT Locations'!E45</f>
        <v>0</v>
      </c>
      <c r="W452" s="131" t="str">
        <f>+'Aggregate, Plant Pick-up'!$C$6</f>
        <v>LAFARGE-MARBLEHEAD "OSBORNE-CLEVELAND"</v>
      </c>
      <c r="X452" s="131" t="str">
        <f>+Plant_Information!$B$10</f>
        <v>04105-28</v>
      </c>
      <c r="Y452" s="131" t="str">
        <f>+Plant_Information!$B$11</f>
        <v>2100 CENTRAL FURNACE ROAD</v>
      </c>
      <c r="Z452" s="131" t="str">
        <f>+Plant_Information!$B$12</f>
        <v>CLEVELAND, OH, 44115</v>
      </c>
      <c r="AA452" s="131" t="str">
        <f>+Plant_Information!$B$13</f>
        <v>12</v>
      </c>
      <c r="AB452" s="131" t="str">
        <f>+Plant_Information!$B$14</f>
        <v>CUY</v>
      </c>
      <c r="AC452" s="70"/>
    </row>
    <row r="453" spans="17:29" x14ac:dyDescent="0.2">
      <c r="Q453" s="100" t="str">
        <f>Plant_Information!$B$6</f>
        <v>(INSERT VENDOR NAME HERE)</v>
      </c>
      <c r="R453" s="100" t="str">
        <f>'HAULING RATES- ODOT Locations'!$A$31</f>
        <v>District 3</v>
      </c>
      <c r="S453" s="100" t="str">
        <f>'HAULING RATES- ODOT Locations'!A46</f>
        <v>Medina</v>
      </c>
      <c r="T453" s="100" t="str">
        <f>'HAULING RATES- ODOT Locations'!B46</f>
        <v>4993 Atlantic Drive Seville Ohio, 44273</v>
      </c>
      <c r="U453" t="str">
        <f>'HAULING RATES- ODOT Locations'!E$8</f>
        <v>Gravel</v>
      </c>
      <c r="V453" s="146">
        <f>'HAULING RATES- ODOT Locations'!E46</f>
        <v>0</v>
      </c>
      <c r="W453" s="131" t="str">
        <f>+'Aggregate, Plant Pick-up'!$C$6</f>
        <v>LAFARGE-MARBLEHEAD "OSBORNE-CLEVELAND"</v>
      </c>
      <c r="X453" s="131" t="str">
        <f>+Plant_Information!$B$10</f>
        <v>04105-28</v>
      </c>
      <c r="Y453" s="131" t="str">
        <f>+Plant_Information!$B$11</f>
        <v>2100 CENTRAL FURNACE ROAD</v>
      </c>
      <c r="Z453" s="131" t="str">
        <f>+Plant_Information!$B$12</f>
        <v>CLEVELAND, OH, 44115</v>
      </c>
      <c r="AA453" s="131" t="str">
        <f>+Plant_Information!$B$13</f>
        <v>12</v>
      </c>
      <c r="AB453" s="131" t="str">
        <f>+Plant_Information!$B$14</f>
        <v>CUY</v>
      </c>
      <c r="AC453" s="70"/>
    </row>
    <row r="454" spans="17:29" x14ac:dyDescent="0.2">
      <c r="Q454" s="100" t="str">
        <f>Plant_Information!$B$6</f>
        <v>(INSERT VENDOR NAME HERE)</v>
      </c>
      <c r="R454" s="100" t="str">
        <f>'HAULING RATES- ODOT Locations'!$A$31</f>
        <v>District 3</v>
      </c>
      <c r="S454" s="100" t="str">
        <f>'HAULING RATES- ODOT Locations'!A47</f>
        <v>Richland</v>
      </c>
      <c r="T454" s="100" t="str">
        <f>'HAULING RATES- ODOT Locations'!B47</f>
        <v>1256 West 4th St., Mansfield, OH 44906</v>
      </c>
      <c r="U454" t="str">
        <f>'HAULING RATES- ODOT Locations'!E$8</f>
        <v>Gravel</v>
      </c>
      <c r="V454" s="146">
        <f>'HAULING RATES- ODOT Locations'!E47</f>
        <v>0</v>
      </c>
      <c r="W454" s="131" t="str">
        <f>+'Aggregate, Plant Pick-up'!$C$6</f>
        <v>LAFARGE-MARBLEHEAD "OSBORNE-CLEVELAND"</v>
      </c>
      <c r="X454" s="131" t="str">
        <f>+Plant_Information!$B$10</f>
        <v>04105-28</v>
      </c>
      <c r="Y454" s="131" t="str">
        <f>+Plant_Information!$B$11</f>
        <v>2100 CENTRAL FURNACE ROAD</v>
      </c>
      <c r="Z454" s="131" t="str">
        <f>+Plant_Information!$B$12</f>
        <v>CLEVELAND, OH, 44115</v>
      </c>
      <c r="AA454" s="131" t="str">
        <f>+Plant_Information!$B$13</f>
        <v>12</v>
      </c>
      <c r="AB454" s="131" t="str">
        <f>+Plant_Information!$B$14</f>
        <v>CUY</v>
      </c>
      <c r="AC454" s="70"/>
    </row>
    <row r="455" spans="17:29" x14ac:dyDescent="0.2">
      <c r="Q455" s="100" t="str">
        <f>Plant_Information!$B$6</f>
        <v>(INSERT VENDOR NAME HERE)</v>
      </c>
      <c r="R455" s="100" t="str">
        <f>'HAULING RATES- ODOT Locations'!$A$31</f>
        <v>District 3</v>
      </c>
      <c r="S455" s="100" t="str">
        <f>'HAULING RATES- ODOT Locations'!A48</f>
        <v>Richland</v>
      </c>
      <c r="T455" s="100" t="str">
        <f>'HAULING RATES- ODOT Locations'!B48</f>
        <v>Lexington OP, 808 Kochheiser Rd., Bellville,, OH 44813</v>
      </c>
      <c r="U455" t="str">
        <f>'HAULING RATES- ODOT Locations'!E$8</f>
        <v>Gravel</v>
      </c>
      <c r="V455" s="146">
        <f>'HAULING RATES- ODOT Locations'!E48</f>
        <v>0</v>
      </c>
      <c r="W455" s="131" t="str">
        <f>+'Aggregate, Plant Pick-up'!$C$6</f>
        <v>LAFARGE-MARBLEHEAD "OSBORNE-CLEVELAND"</v>
      </c>
      <c r="X455" s="131" t="str">
        <f>+Plant_Information!$B$10</f>
        <v>04105-28</v>
      </c>
      <c r="Y455" s="131" t="str">
        <f>+Plant_Information!$B$11</f>
        <v>2100 CENTRAL FURNACE ROAD</v>
      </c>
      <c r="Z455" s="131" t="str">
        <f>+Plant_Information!$B$12</f>
        <v>CLEVELAND, OH, 44115</v>
      </c>
      <c r="AA455" s="131" t="str">
        <f>+Plant_Information!$B$13</f>
        <v>12</v>
      </c>
      <c r="AB455" s="131" t="str">
        <f>+Plant_Information!$B$14</f>
        <v>CUY</v>
      </c>
      <c r="AC455" s="70"/>
    </row>
    <row r="456" spans="17:29" x14ac:dyDescent="0.2">
      <c r="Q456" s="100" t="str">
        <f>Plant_Information!$B$6</f>
        <v>(INSERT VENDOR NAME HERE)</v>
      </c>
      <c r="R456" s="100" t="str">
        <f>'HAULING RATES- ODOT Locations'!$A$31</f>
        <v>District 3</v>
      </c>
      <c r="S456" s="100" t="str">
        <f>'HAULING RATES- ODOT Locations'!A49</f>
        <v>Wayne</v>
      </c>
      <c r="T456" s="100" t="str">
        <f>'HAULING RATES- ODOT Locations'!B49</f>
        <v>1661 Geyers Chapel Rd., Wooster, OH 44691</v>
      </c>
      <c r="U456" t="str">
        <f>'HAULING RATES- ODOT Locations'!E$8</f>
        <v>Gravel</v>
      </c>
      <c r="V456" s="146">
        <f>'HAULING RATES- ODOT Locations'!E49</f>
        <v>0</v>
      </c>
      <c r="W456" s="131" t="str">
        <f>+'Aggregate, Plant Pick-up'!$C$6</f>
        <v>LAFARGE-MARBLEHEAD "OSBORNE-CLEVELAND"</v>
      </c>
      <c r="X456" s="131" t="str">
        <f>+Plant_Information!$B$10</f>
        <v>04105-28</v>
      </c>
      <c r="Y456" s="131" t="str">
        <f>+Plant_Information!$B$11</f>
        <v>2100 CENTRAL FURNACE ROAD</v>
      </c>
      <c r="Z456" s="131" t="str">
        <f>+Plant_Information!$B$12</f>
        <v>CLEVELAND, OH, 44115</v>
      </c>
      <c r="AA456" s="131" t="str">
        <f>+Plant_Information!$B$13</f>
        <v>12</v>
      </c>
      <c r="AB456" s="131" t="str">
        <f>+Plant_Information!$B$14</f>
        <v>CUY</v>
      </c>
      <c r="AC456" s="70"/>
    </row>
    <row r="457" spans="17:29" x14ac:dyDescent="0.2">
      <c r="Q457" s="100" t="str">
        <f>Plant_Information!$B$6</f>
        <v>(INSERT VENDOR NAME HERE)</v>
      </c>
      <c r="R457" s="100" t="str">
        <f>'HAULING RATES- ODOT Locations'!$A$50</f>
        <v>District 4</v>
      </c>
      <c r="S457" s="100" t="str">
        <f>'HAULING RATES- ODOT Locations'!A53</f>
        <v>Ashtabula</v>
      </c>
      <c r="T457" s="100" t="str">
        <f>'HAULING RATES- ODOT Locations'!B53</f>
        <v>492 Seven Hills Rd., Ashtabula, OH  44004</v>
      </c>
      <c r="U457" t="str">
        <f>'HAULING RATES- ODOT Locations'!E$8</f>
        <v>Gravel</v>
      </c>
      <c r="V457" s="146">
        <f>'HAULING RATES- ODOT Locations'!E53</f>
        <v>0</v>
      </c>
      <c r="W457" s="131" t="str">
        <f>+'Aggregate, Plant Pick-up'!$C$6</f>
        <v>LAFARGE-MARBLEHEAD "OSBORNE-CLEVELAND"</v>
      </c>
      <c r="X457" s="131" t="str">
        <f>+Plant_Information!$B$10</f>
        <v>04105-28</v>
      </c>
      <c r="Y457" s="131" t="str">
        <f>+Plant_Information!$B$11</f>
        <v>2100 CENTRAL FURNACE ROAD</v>
      </c>
      <c r="Z457" s="131" t="str">
        <f>+Plant_Information!$B$12</f>
        <v>CLEVELAND, OH, 44115</v>
      </c>
      <c r="AA457" s="131" t="str">
        <f>+Plant_Information!$B$13</f>
        <v>12</v>
      </c>
      <c r="AB457" s="131" t="str">
        <f>+Plant_Information!$B$14</f>
        <v>CUY</v>
      </c>
      <c r="AC457" s="70"/>
    </row>
    <row r="458" spans="17:29" x14ac:dyDescent="0.2">
      <c r="Q458" s="100" t="str">
        <f>Plant_Information!$B$6</f>
        <v>(INSERT VENDOR NAME HERE)</v>
      </c>
      <c r="R458" s="100" t="str">
        <f>'HAULING RATES- ODOT Locations'!$A$50</f>
        <v>District 4</v>
      </c>
      <c r="S458" s="100" t="str">
        <f>'HAULING RATES- ODOT Locations'!A54</f>
        <v>Ashtabula</v>
      </c>
      <c r="T458" s="100" t="str">
        <f>'HAULING RATES- ODOT Locations'!B54</f>
        <v>879 SR 7, Conneaut, OH  44030</v>
      </c>
      <c r="U458" t="str">
        <f>'HAULING RATES- ODOT Locations'!E$8</f>
        <v>Gravel</v>
      </c>
      <c r="V458" s="146">
        <f>'HAULING RATES- ODOT Locations'!E54</f>
        <v>0</v>
      </c>
      <c r="W458" s="131" t="str">
        <f>+'Aggregate, Plant Pick-up'!$C$6</f>
        <v>LAFARGE-MARBLEHEAD "OSBORNE-CLEVELAND"</v>
      </c>
      <c r="X458" s="131" t="str">
        <f>+Plant_Information!$B$10</f>
        <v>04105-28</v>
      </c>
      <c r="Y458" s="131" t="str">
        <f>+Plant_Information!$B$11</f>
        <v>2100 CENTRAL FURNACE ROAD</v>
      </c>
      <c r="Z458" s="131" t="str">
        <f>+Plant_Information!$B$12</f>
        <v>CLEVELAND, OH, 44115</v>
      </c>
      <c r="AA458" s="131" t="str">
        <f>+Plant_Information!$B$13</f>
        <v>12</v>
      </c>
      <c r="AB458" s="131" t="str">
        <f>+Plant_Information!$B$14</f>
        <v>CUY</v>
      </c>
      <c r="AC458" s="70"/>
    </row>
    <row r="459" spans="17:29" x14ac:dyDescent="0.2">
      <c r="Q459" s="100" t="str">
        <f>Plant_Information!$B$6</f>
        <v>(INSERT VENDOR NAME HERE)</v>
      </c>
      <c r="R459" s="100" t="str">
        <f>'HAULING RATES- ODOT Locations'!$A$50</f>
        <v>District 4</v>
      </c>
      <c r="S459" s="100" t="str">
        <f>'HAULING RATES- ODOT Locations'!A55</f>
        <v>Ashtabula</v>
      </c>
      <c r="T459" s="100" t="str">
        <f>'HAULING RATES- ODOT Locations'!B55</f>
        <v>2325 SR 193, Dorset, OH   44032</v>
      </c>
      <c r="U459" t="str">
        <f>'HAULING RATES- ODOT Locations'!E$8</f>
        <v>Gravel</v>
      </c>
      <c r="V459" s="146">
        <f>'HAULING RATES- ODOT Locations'!E55</f>
        <v>0</v>
      </c>
      <c r="W459" s="131" t="str">
        <f>+'Aggregate, Plant Pick-up'!$C$6</f>
        <v>LAFARGE-MARBLEHEAD "OSBORNE-CLEVELAND"</v>
      </c>
      <c r="X459" s="131" t="str">
        <f>+Plant_Information!$B$10</f>
        <v>04105-28</v>
      </c>
      <c r="Y459" s="131" t="str">
        <f>+Plant_Information!$B$11</f>
        <v>2100 CENTRAL FURNACE ROAD</v>
      </c>
      <c r="Z459" s="131" t="str">
        <f>+Plant_Information!$B$12</f>
        <v>CLEVELAND, OH, 44115</v>
      </c>
      <c r="AA459" s="131" t="str">
        <f>+Plant_Information!$B$13</f>
        <v>12</v>
      </c>
      <c r="AB459" s="131" t="str">
        <f>+Plant_Information!$B$14</f>
        <v>CUY</v>
      </c>
      <c r="AC459" s="70"/>
    </row>
    <row r="460" spans="17:29" x14ac:dyDescent="0.2">
      <c r="Q460" s="100" t="str">
        <f>Plant_Information!$B$6</f>
        <v>(INSERT VENDOR NAME HERE)</v>
      </c>
      <c r="R460" s="100" t="str">
        <f>'HAULING RATES- ODOT Locations'!$A$50</f>
        <v>District 4</v>
      </c>
      <c r="S460" s="100" t="str">
        <f>'HAULING RATES- ODOT Locations'!A56</f>
        <v>Ashtabula</v>
      </c>
      <c r="T460" s="100" t="str">
        <f>'HAULING RATES- ODOT Locations'!B56</f>
        <v>Harpersfield OP, 5420 SR 534, Geneva, OH    44041</v>
      </c>
      <c r="U460" t="str">
        <f>'HAULING RATES- ODOT Locations'!E$8</f>
        <v>Gravel</v>
      </c>
      <c r="V460" s="146">
        <f>'HAULING RATES- ODOT Locations'!E56</f>
        <v>0</v>
      </c>
      <c r="W460" s="131" t="str">
        <f>+'Aggregate, Plant Pick-up'!$C$6</f>
        <v>LAFARGE-MARBLEHEAD "OSBORNE-CLEVELAND"</v>
      </c>
      <c r="X460" s="131" t="str">
        <f>+Plant_Information!$B$10</f>
        <v>04105-28</v>
      </c>
      <c r="Y460" s="131" t="str">
        <f>+Plant_Information!$B$11</f>
        <v>2100 CENTRAL FURNACE ROAD</v>
      </c>
      <c r="Z460" s="131" t="str">
        <f>+Plant_Information!$B$12</f>
        <v>CLEVELAND, OH, 44115</v>
      </c>
      <c r="AA460" s="131" t="str">
        <f>+Plant_Information!$B$13</f>
        <v>12</v>
      </c>
      <c r="AB460" s="131" t="str">
        <f>+Plant_Information!$B$14</f>
        <v>CUY</v>
      </c>
      <c r="AC460" s="70"/>
    </row>
    <row r="461" spans="17:29" x14ac:dyDescent="0.2">
      <c r="Q461" s="100" t="str">
        <f>Plant_Information!$B$6</f>
        <v>(INSERT VENDOR NAME HERE)</v>
      </c>
      <c r="R461" s="100" t="str">
        <f>'HAULING RATES- ODOT Locations'!$A$50</f>
        <v>District 4</v>
      </c>
      <c r="S461" s="100" t="str">
        <f>'HAULING RATES- ODOT Locations'!A57</f>
        <v>Ashtabula</v>
      </c>
      <c r="T461" s="100" t="str">
        <f>'HAULING RATES- ODOT Locations'!B57</f>
        <v>5451 SR 45, Rome, OH   44085</v>
      </c>
      <c r="U461" t="str">
        <f>'HAULING RATES- ODOT Locations'!E$8</f>
        <v>Gravel</v>
      </c>
      <c r="V461" s="146">
        <f>'HAULING RATES- ODOT Locations'!E57</f>
        <v>0</v>
      </c>
      <c r="W461" s="131" t="str">
        <f>+'Aggregate, Plant Pick-up'!$C$6</f>
        <v>LAFARGE-MARBLEHEAD "OSBORNE-CLEVELAND"</v>
      </c>
      <c r="X461" s="131" t="str">
        <f>+Plant_Information!$B$10</f>
        <v>04105-28</v>
      </c>
      <c r="Y461" s="131" t="str">
        <f>+Plant_Information!$B$11</f>
        <v>2100 CENTRAL FURNACE ROAD</v>
      </c>
      <c r="Z461" s="131" t="str">
        <f>+Plant_Information!$B$12</f>
        <v>CLEVELAND, OH, 44115</v>
      </c>
      <c r="AA461" s="131" t="str">
        <f>+Plant_Information!$B$13</f>
        <v>12</v>
      </c>
      <c r="AB461" s="131" t="str">
        <f>+Plant_Information!$B$14</f>
        <v>CUY</v>
      </c>
      <c r="AC461" s="70"/>
    </row>
    <row r="462" spans="17:29" x14ac:dyDescent="0.2">
      <c r="Q462" s="100" t="str">
        <f>Plant_Information!$B$6</f>
        <v>(INSERT VENDOR NAME HERE)</v>
      </c>
      <c r="R462" s="100" t="str">
        <f>'HAULING RATES- ODOT Locations'!$A$50</f>
        <v>District 4</v>
      </c>
      <c r="S462" s="100" t="str">
        <f>'HAULING RATES- ODOT Locations'!A58</f>
        <v>Ashtabula</v>
      </c>
      <c r="T462" s="100" t="str">
        <f>'HAULING RATES- ODOT Locations'!B58</f>
        <v>5820 SR 322, Williamsfield, OH  44093</v>
      </c>
      <c r="U462" t="str">
        <f>'HAULING RATES- ODOT Locations'!E$8</f>
        <v>Gravel</v>
      </c>
      <c r="V462" s="146">
        <f>'HAULING RATES- ODOT Locations'!E58</f>
        <v>0</v>
      </c>
      <c r="W462" s="131" t="str">
        <f>+'Aggregate, Plant Pick-up'!$C$6</f>
        <v>LAFARGE-MARBLEHEAD "OSBORNE-CLEVELAND"</v>
      </c>
      <c r="X462" s="131" t="str">
        <f>+Plant_Information!$B$10</f>
        <v>04105-28</v>
      </c>
      <c r="Y462" s="131" t="str">
        <f>+Plant_Information!$B$11</f>
        <v>2100 CENTRAL FURNACE ROAD</v>
      </c>
      <c r="Z462" s="131" t="str">
        <f>+Plant_Information!$B$12</f>
        <v>CLEVELAND, OH, 44115</v>
      </c>
      <c r="AA462" s="131" t="str">
        <f>+Plant_Information!$B$13</f>
        <v>12</v>
      </c>
      <c r="AB462" s="131" t="str">
        <f>+Plant_Information!$B$14</f>
        <v>CUY</v>
      </c>
      <c r="AC462" s="70"/>
    </row>
    <row r="463" spans="17:29" x14ac:dyDescent="0.2">
      <c r="Q463" s="100" t="str">
        <f>Plant_Information!$B$6</f>
        <v>(INSERT VENDOR NAME HERE)</v>
      </c>
      <c r="R463" s="100" t="str">
        <f>'HAULING RATES- ODOT Locations'!$A$50</f>
        <v>District 4</v>
      </c>
      <c r="S463" s="100" t="str">
        <f>'HAULING RATES- ODOT Locations'!A59</f>
        <v>Mahoning</v>
      </c>
      <c r="T463" s="100" t="str">
        <f>'HAULING RATES- ODOT Locations'!B59</f>
        <v>401 W. Main St., Canfield, OH  44406</v>
      </c>
      <c r="U463" t="str">
        <f>'HAULING RATES- ODOT Locations'!E$8</f>
        <v>Gravel</v>
      </c>
      <c r="V463" s="146">
        <f>'HAULING RATES- ODOT Locations'!E59</f>
        <v>0</v>
      </c>
      <c r="W463" s="131" t="str">
        <f>+'Aggregate, Plant Pick-up'!$C$6</f>
        <v>LAFARGE-MARBLEHEAD "OSBORNE-CLEVELAND"</v>
      </c>
      <c r="X463" s="131" t="str">
        <f>+Plant_Information!$B$10</f>
        <v>04105-28</v>
      </c>
      <c r="Y463" s="131" t="str">
        <f>+Plant_Information!$B$11</f>
        <v>2100 CENTRAL FURNACE ROAD</v>
      </c>
      <c r="Z463" s="131" t="str">
        <f>+Plant_Information!$B$12</f>
        <v>CLEVELAND, OH, 44115</v>
      </c>
      <c r="AA463" s="131" t="str">
        <f>+Plant_Information!$B$13</f>
        <v>12</v>
      </c>
      <c r="AB463" s="131" t="str">
        <f>+Plant_Information!$B$14</f>
        <v>CUY</v>
      </c>
      <c r="AC463" s="70"/>
    </row>
    <row r="464" spans="17:29" x14ac:dyDescent="0.2">
      <c r="Q464" s="100" t="str">
        <f>Plant_Information!$B$6</f>
        <v>(INSERT VENDOR NAME HERE)</v>
      </c>
      <c r="R464" s="100" t="str">
        <f>'HAULING RATES- ODOT Locations'!$A$50</f>
        <v>District 4</v>
      </c>
      <c r="S464" s="100" t="str">
        <f>'HAULING RATES- ODOT Locations'!A60</f>
        <v>Mahoning</v>
      </c>
      <c r="T464" s="100" t="str">
        <f>'HAULING RATES- ODOT Locations'!B60</f>
        <v>385 N. Bailey Rd., North Jackson, OH   44451</v>
      </c>
      <c r="U464" t="str">
        <f>'HAULING RATES- ODOT Locations'!E$8</f>
        <v>Gravel</v>
      </c>
      <c r="V464" s="146">
        <f>'HAULING RATES- ODOT Locations'!E60</f>
        <v>0</v>
      </c>
      <c r="W464" s="131" t="str">
        <f>+'Aggregate, Plant Pick-up'!$C$6</f>
        <v>LAFARGE-MARBLEHEAD "OSBORNE-CLEVELAND"</v>
      </c>
      <c r="X464" s="131" t="str">
        <f>+Plant_Information!$B$10</f>
        <v>04105-28</v>
      </c>
      <c r="Y464" s="131" t="str">
        <f>+Plant_Information!$B$11</f>
        <v>2100 CENTRAL FURNACE ROAD</v>
      </c>
      <c r="Z464" s="131" t="str">
        <f>+Plant_Information!$B$12</f>
        <v>CLEVELAND, OH, 44115</v>
      </c>
      <c r="AA464" s="131" t="str">
        <f>+Plant_Information!$B$13</f>
        <v>12</v>
      </c>
      <c r="AB464" s="131" t="str">
        <f>+Plant_Information!$B$14</f>
        <v>CUY</v>
      </c>
      <c r="AC464" s="70"/>
    </row>
    <row r="465" spans="17:29" x14ac:dyDescent="0.2">
      <c r="Q465" s="100" t="str">
        <f>Plant_Information!$B$6</f>
        <v>(INSERT VENDOR NAME HERE)</v>
      </c>
      <c r="R465" s="100" t="str">
        <f>'HAULING RATES- ODOT Locations'!$A$50</f>
        <v>District 4</v>
      </c>
      <c r="S465" s="100" t="str">
        <f>'HAULING RATES- ODOT Locations'!A61</f>
        <v>Mahoning</v>
      </c>
      <c r="T465" s="100" t="str">
        <f>'HAULING RATES- ODOT Locations'!B61</f>
        <v>10720 Market St., N. Lima, OH    44452</v>
      </c>
      <c r="U465" t="str">
        <f>'HAULING RATES- ODOT Locations'!E$8</f>
        <v>Gravel</v>
      </c>
      <c r="V465" s="146">
        <f>'HAULING RATES- ODOT Locations'!E61</f>
        <v>0</v>
      </c>
      <c r="W465" s="131" t="str">
        <f>+'Aggregate, Plant Pick-up'!$C$6</f>
        <v>LAFARGE-MARBLEHEAD "OSBORNE-CLEVELAND"</v>
      </c>
      <c r="X465" s="131" t="str">
        <f>+Plant_Information!$B$10</f>
        <v>04105-28</v>
      </c>
      <c r="Y465" s="131" t="str">
        <f>+Plant_Information!$B$11</f>
        <v>2100 CENTRAL FURNACE ROAD</v>
      </c>
      <c r="Z465" s="131" t="str">
        <f>+Plant_Information!$B$12</f>
        <v>CLEVELAND, OH, 44115</v>
      </c>
      <c r="AA465" s="131" t="str">
        <f>+Plant_Information!$B$13</f>
        <v>12</v>
      </c>
      <c r="AB465" s="131" t="str">
        <f>+Plant_Information!$B$14</f>
        <v>CUY</v>
      </c>
      <c r="AC465" s="70"/>
    </row>
    <row r="466" spans="17:29" x14ac:dyDescent="0.2">
      <c r="Q466" s="100" t="str">
        <f>Plant_Information!$B$6</f>
        <v>(INSERT VENDOR NAME HERE)</v>
      </c>
      <c r="R466" s="100" t="str">
        <f>'HAULING RATES- ODOT Locations'!$A$50</f>
        <v>District 4</v>
      </c>
      <c r="S466" s="100" t="str">
        <f>'HAULING RATES- ODOT Locations'!A62</f>
        <v>Mahoning</v>
      </c>
      <c r="T466" s="100" t="str">
        <f>'HAULING RATES- ODOT Locations'!B62</f>
        <v>Intersection SR14 &amp; Pricetown Road, Beloit, OH, 44609</v>
      </c>
      <c r="U466" t="str">
        <f>'HAULING RATES- ODOT Locations'!E$8</f>
        <v>Gravel</v>
      </c>
      <c r="V466" s="146">
        <f>'HAULING RATES- ODOT Locations'!E62</f>
        <v>0</v>
      </c>
      <c r="W466" s="131" t="str">
        <f>+'Aggregate, Plant Pick-up'!$C$6</f>
        <v>LAFARGE-MARBLEHEAD "OSBORNE-CLEVELAND"</v>
      </c>
      <c r="X466" s="131" t="str">
        <f>+Plant_Information!$B$10</f>
        <v>04105-28</v>
      </c>
      <c r="Y466" s="131" t="str">
        <f>+Plant_Information!$B$11</f>
        <v>2100 CENTRAL FURNACE ROAD</v>
      </c>
      <c r="Z466" s="131" t="str">
        <f>+Plant_Information!$B$12</f>
        <v>CLEVELAND, OH, 44115</v>
      </c>
      <c r="AA466" s="131" t="str">
        <f>+Plant_Information!$B$13</f>
        <v>12</v>
      </c>
      <c r="AB466" s="131" t="str">
        <f>+Plant_Information!$B$14</f>
        <v>CUY</v>
      </c>
      <c r="AC466" s="70"/>
    </row>
    <row r="467" spans="17:29" x14ac:dyDescent="0.2">
      <c r="Q467" s="100" t="str">
        <f>Plant_Information!$B$6</f>
        <v>(INSERT VENDOR NAME HERE)</v>
      </c>
      <c r="R467" s="100" t="str">
        <f>'HAULING RATES- ODOT Locations'!$A$50</f>
        <v>District 4</v>
      </c>
      <c r="S467" s="100" t="str">
        <f>'HAULING RATES- ODOT Locations'!A63</f>
        <v>Mahoning</v>
      </c>
      <c r="T467" s="100" t="str">
        <f>'HAULING RATES- ODOT Locations'!B63</f>
        <v>South Avenue OP, I-680 &amp; South Ave. (Mp7) 1510 S. Ave., Youngstown, OH   44502</v>
      </c>
      <c r="U467" t="str">
        <f>'HAULING RATES- ODOT Locations'!E$8</f>
        <v>Gravel</v>
      </c>
      <c r="V467" s="146">
        <f>'HAULING RATES- ODOT Locations'!E63</f>
        <v>0</v>
      </c>
      <c r="W467" s="131" t="str">
        <f>+'Aggregate, Plant Pick-up'!$C$6</f>
        <v>LAFARGE-MARBLEHEAD "OSBORNE-CLEVELAND"</v>
      </c>
      <c r="X467" s="131" t="str">
        <f>+Plant_Information!$B$10</f>
        <v>04105-28</v>
      </c>
      <c r="Y467" s="131" t="str">
        <f>+Plant_Information!$B$11</f>
        <v>2100 CENTRAL FURNACE ROAD</v>
      </c>
      <c r="Z467" s="131" t="str">
        <f>+Plant_Information!$B$12</f>
        <v>CLEVELAND, OH, 44115</v>
      </c>
      <c r="AA467" s="131" t="str">
        <f>+Plant_Information!$B$13</f>
        <v>12</v>
      </c>
      <c r="AB467" s="131" t="str">
        <f>+Plant_Information!$B$14</f>
        <v>CUY</v>
      </c>
      <c r="AC467" s="70"/>
    </row>
    <row r="468" spans="17:29" x14ac:dyDescent="0.2">
      <c r="Q468" s="100" t="str">
        <f>Plant_Information!$B$6</f>
        <v>(INSERT VENDOR NAME HERE)</v>
      </c>
      <c r="R468" s="100" t="str">
        <f>'HAULING RATES- ODOT Locations'!$A$50</f>
        <v>District 4</v>
      </c>
      <c r="S468" s="100" t="str">
        <f>'HAULING RATES- ODOT Locations'!A64</f>
        <v>Portage</v>
      </c>
      <c r="T468" s="100" t="str">
        <f>'HAULING RATES- ODOT Locations'!B64</f>
        <v>Drakesburg OP, 9068 SR 88, Windham, OH   44288</v>
      </c>
      <c r="U468" t="str">
        <f>'HAULING RATES- ODOT Locations'!E$8</f>
        <v>Gravel</v>
      </c>
      <c r="V468" s="146">
        <f>'HAULING RATES- ODOT Locations'!E64</f>
        <v>0</v>
      </c>
      <c r="W468" s="131" t="str">
        <f>+'Aggregate, Plant Pick-up'!$C$6</f>
        <v>LAFARGE-MARBLEHEAD "OSBORNE-CLEVELAND"</v>
      </c>
      <c r="X468" s="131" t="str">
        <f>+Plant_Information!$B$10</f>
        <v>04105-28</v>
      </c>
      <c r="Y468" s="131" t="str">
        <f>+Plant_Information!$B$11</f>
        <v>2100 CENTRAL FURNACE ROAD</v>
      </c>
      <c r="Z468" s="131" t="str">
        <f>+Plant_Information!$B$12</f>
        <v>CLEVELAND, OH, 44115</v>
      </c>
      <c r="AA468" s="131" t="str">
        <f>+Plant_Information!$B$13</f>
        <v>12</v>
      </c>
      <c r="AB468" s="131" t="str">
        <f>+Plant_Information!$B$14</f>
        <v>CUY</v>
      </c>
      <c r="AC468" s="70"/>
    </row>
    <row r="469" spans="17:29" x14ac:dyDescent="0.2">
      <c r="Q469" s="100" t="str">
        <f>Plant_Information!$B$6</f>
        <v>(INSERT VENDOR NAME HERE)</v>
      </c>
      <c r="R469" s="100" t="str">
        <f>'HAULING RATES- ODOT Locations'!$A$50</f>
        <v>District 4</v>
      </c>
      <c r="S469" s="100" t="str">
        <f>'HAULING RATES- ODOT Locations'!A65</f>
        <v>Portage</v>
      </c>
      <c r="T469" s="100" t="str">
        <f>'HAULING RATES- ODOT Locations'!B65</f>
        <v>2638 SR 14, Deerfield, OH   44411</v>
      </c>
      <c r="U469" t="str">
        <f>'HAULING RATES- ODOT Locations'!E$8</f>
        <v>Gravel</v>
      </c>
      <c r="V469" s="146">
        <f>'HAULING RATES- ODOT Locations'!E65</f>
        <v>0</v>
      </c>
      <c r="W469" s="131" t="str">
        <f>+'Aggregate, Plant Pick-up'!$C$6</f>
        <v>LAFARGE-MARBLEHEAD "OSBORNE-CLEVELAND"</v>
      </c>
      <c r="X469" s="131" t="str">
        <f>+Plant_Information!$B$10</f>
        <v>04105-28</v>
      </c>
      <c r="Y469" s="131" t="str">
        <f>+Plant_Information!$B$11</f>
        <v>2100 CENTRAL FURNACE ROAD</v>
      </c>
      <c r="Z469" s="131" t="str">
        <f>+Plant_Information!$B$12</f>
        <v>CLEVELAND, OH, 44115</v>
      </c>
      <c r="AA469" s="131" t="str">
        <f>+Plant_Information!$B$13</f>
        <v>12</v>
      </c>
      <c r="AB469" s="131" t="str">
        <f>+Plant_Information!$B$14</f>
        <v>CUY</v>
      </c>
      <c r="AC469" s="70"/>
    </row>
    <row r="470" spans="17:29" x14ac:dyDescent="0.2">
      <c r="Q470" s="100" t="str">
        <f>Plant_Information!$B$6</f>
        <v>(INSERT VENDOR NAME HERE)</v>
      </c>
      <c r="R470" s="100" t="str">
        <f>'HAULING RATES- ODOT Locations'!$A$50</f>
        <v>District 4</v>
      </c>
      <c r="S470" s="100" t="str">
        <f>'HAULING RATES- ODOT Locations'!A66</f>
        <v>Portage</v>
      </c>
      <c r="T470" s="100" t="str">
        <f>'HAULING RATES- ODOT Locations'!B66</f>
        <v>5071 Commerce One Drive, Rootstown, OH 44272</v>
      </c>
      <c r="U470" t="str">
        <f>'HAULING RATES- ODOT Locations'!E$8</f>
        <v>Gravel</v>
      </c>
      <c r="V470" s="146">
        <f>'HAULING RATES- ODOT Locations'!E66</f>
        <v>0</v>
      </c>
      <c r="W470" s="131" t="str">
        <f>+'Aggregate, Plant Pick-up'!$C$6</f>
        <v>LAFARGE-MARBLEHEAD "OSBORNE-CLEVELAND"</v>
      </c>
      <c r="X470" s="131" t="str">
        <f>+Plant_Information!$B$10</f>
        <v>04105-28</v>
      </c>
      <c r="Y470" s="131" t="str">
        <f>+Plant_Information!$B$11</f>
        <v>2100 CENTRAL FURNACE ROAD</v>
      </c>
      <c r="Z470" s="131" t="str">
        <f>+Plant_Information!$B$12</f>
        <v>CLEVELAND, OH, 44115</v>
      </c>
      <c r="AA470" s="131" t="str">
        <f>+Plant_Information!$B$13</f>
        <v>12</v>
      </c>
      <c r="AB470" s="131" t="str">
        <f>+Plant_Information!$B$14</f>
        <v>CUY</v>
      </c>
      <c r="AC470" s="70"/>
    </row>
    <row r="471" spans="17:29" x14ac:dyDescent="0.2">
      <c r="Q471" s="100" t="str">
        <f>Plant_Information!$B$6</f>
        <v>(INSERT VENDOR NAME HERE)</v>
      </c>
      <c r="R471" s="100" t="str">
        <f>'HAULING RATES- ODOT Locations'!$A$50</f>
        <v>District 4</v>
      </c>
      <c r="S471" s="100" t="str">
        <f>'HAULING RATES- ODOT Locations'!A67</f>
        <v>Stark</v>
      </c>
      <c r="T471" s="100" t="str">
        <f>'HAULING RATES- ODOT Locations'!B67</f>
        <v>4505 Atlantic Blvd. NE, Canton, Intersection of  US 62 &amp; Atlantic</v>
      </c>
      <c r="U471" t="str">
        <f>'HAULING RATES- ODOT Locations'!E$8</f>
        <v>Gravel</v>
      </c>
      <c r="V471" s="146">
        <f>'HAULING RATES- ODOT Locations'!E67</f>
        <v>0</v>
      </c>
      <c r="W471" s="131" t="str">
        <f>+'Aggregate, Plant Pick-up'!$C$6</f>
        <v>LAFARGE-MARBLEHEAD "OSBORNE-CLEVELAND"</v>
      </c>
      <c r="X471" s="131" t="str">
        <f>+Plant_Information!$B$10</f>
        <v>04105-28</v>
      </c>
      <c r="Y471" s="131" t="str">
        <f>+Plant_Information!$B$11</f>
        <v>2100 CENTRAL FURNACE ROAD</v>
      </c>
      <c r="Z471" s="131" t="str">
        <f>+Plant_Information!$B$12</f>
        <v>CLEVELAND, OH, 44115</v>
      </c>
      <c r="AA471" s="131" t="str">
        <f>+Plant_Information!$B$13</f>
        <v>12</v>
      </c>
      <c r="AB471" s="131" t="str">
        <f>+Plant_Information!$B$14</f>
        <v>CUY</v>
      </c>
      <c r="AC471" s="70"/>
    </row>
    <row r="472" spans="17:29" x14ac:dyDescent="0.2">
      <c r="Q472" s="100" t="str">
        <f>Plant_Information!$B$6</f>
        <v>(INSERT VENDOR NAME HERE)</v>
      </c>
      <c r="R472" s="100" t="str">
        <f>'HAULING RATES- ODOT Locations'!$A$50</f>
        <v>District 4</v>
      </c>
      <c r="S472" s="100" t="str">
        <f>'HAULING RATES- ODOT Locations'!A68</f>
        <v>Stark</v>
      </c>
      <c r="T472" s="100" t="str">
        <f>'HAULING RATES- ODOT Locations'!B68</f>
        <v>Millersburg OP, 12751 Millersburg SW,  Massillon, 44647 (corner of SR 241 &amp; SR 93)</v>
      </c>
      <c r="U472" t="str">
        <f>'HAULING RATES- ODOT Locations'!E$8</f>
        <v>Gravel</v>
      </c>
      <c r="V472" s="146">
        <f>'HAULING RATES- ODOT Locations'!E68</f>
        <v>0</v>
      </c>
      <c r="W472" s="131" t="str">
        <f>+'Aggregate, Plant Pick-up'!$C$6</f>
        <v>LAFARGE-MARBLEHEAD "OSBORNE-CLEVELAND"</v>
      </c>
      <c r="X472" s="131" t="str">
        <f>+Plant_Information!$B$10</f>
        <v>04105-28</v>
      </c>
      <c r="Y472" s="131" t="str">
        <f>+Plant_Information!$B$11</f>
        <v>2100 CENTRAL FURNACE ROAD</v>
      </c>
      <c r="Z472" s="131" t="str">
        <f>+Plant_Information!$B$12</f>
        <v>CLEVELAND, OH, 44115</v>
      </c>
      <c r="AA472" s="131" t="str">
        <f>+Plant_Information!$B$13</f>
        <v>12</v>
      </c>
      <c r="AB472" s="131" t="str">
        <f>+Plant_Information!$B$14</f>
        <v>CUY</v>
      </c>
      <c r="AC472" s="70"/>
    </row>
    <row r="473" spans="17:29" x14ac:dyDescent="0.2">
      <c r="Q473" s="138" t="str">
        <f>Plant_Information!$B$6</f>
        <v>(INSERT VENDOR NAME HERE)</v>
      </c>
      <c r="R473" s="138" t="str">
        <f>'HAULING RATES- ODOT Locations'!$A$50</f>
        <v>District 4</v>
      </c>
      <c r="S473" s="138" t="str">
        <f>'HAULING RATES- ODOT Locations'!A69</f>
        <v>Stark</v>
      </c>
      <c r="T473" s="138" t="str">
        <f>'HAULING RATES- ODOT Locations'!B69</f>
        <v>3018 Richville Drive SE, Massillon, OH 44646</v>
      </c>
      <c r="U473" s="138" t="str">
        <f>'HAULING RATES- ODOT Locations'!E$8</f>
        <v>Gravel</v>
      </c>
      <c r="V473" s="146">
        <f>'HAULING RATES- ODOT Locations'!E69</f>
        <v>0</v>
      </c>
      <c r="W473" s="141" t="str">
        <f>+'Aggregate, Plant Pick-up'!$C$6</f>
        <v>LAFARGE-MARBLEHEAD "OSBORNE-CLEVELAND"</v>
      </c>
      <c r="X473" s="141" t="str">
        <f>+Plant_Information!$B$10</f>
        <v>04105-28</v>
      </c>
      <c r="Y473" s="141" t="str">
        <f>+Plant_Information!$B$11</f>
        <v>2100 CENTRAL FURNACE ROAD</v>
      </c>
      <c r="Z473" s="141" t="str">
        <f>+Plant_Information!$B$12</f>
        <v>CLEVELAND, OH, 44115</v>
      </c>
      <c r="AA473" s="141" t="str">
        <f>+Plant_Information!$B$13</f>
        <v>12</v>
      </c>
      <c r="AB473" s="141" t="str">
        <f>+Plant_Information!$B$14</f>
        <v>CUY</v>
      </c>
      <c r="AC473" s="70"/>
    </row>
    <row r="474" spans="17:29" x14ac:dyDescent="0.2">
      <c r="Q474" s="100" t="str">
        <f>Plant_Information!$B$6</f>
        <v>(INSERT VENDOR NAME HERE)</v>
      </c>
      <c r="R474" s="100" t="str">
        <f>'HAULING RATES- ODOT Locations'!$A$50</f>
        <v>District 4</v>
      </c>
      <c r="S474" s="100" t="str">
        <f>'HAULING RATES- ODOT Locations'!A70</f>
        <v>Summit</v>
      </c>
      <c r="T474" s="100" t="str">
        <f>'HAULING RATES- ODOT Locations'!B70</f>
        <v>Boston Heights Garage, 6155 Chittenden Rd., Hudson, OH 44236</v>
      </c>
      <c r="U474" t="str">
        <f>'HAULING RATES- ODOT Locations'!E$8</f>
        <v>Gravel</v>
      </c>
      <c r="V474" s="146">
        <f>'HAULING RATES- ODOT Locations'!E70</f>
        <v>0</v>
      </c>
      <c r="W474" s="131" t="str">
        <f>+'Aggregate, Plant Pick-up'!$C$6</f>
        <v>LAFARGE-MARBLEHEAD "OSBORNE-CLEVELAND"</v>
      </c>
      <c r="X474" s="131" t="str">
        <f>+Plant_Information!$B$10</f>
        <v>04105-28</v>
      </c>
      <c r="Y474" s="131" t="str">
        <f>+Plant_Information!$B$11</f>
        <v>2100 CENTRAL FURNACE ROAD</v>
      </c>
      <c r="Z474" s="131" t="str">
        <f>+Plant_Information!$B$12</f>
        <v>CLEVELAND, OH, 44115</v>
      </c>
      <c r="AA474" s="131" t="str">
        <f>+Plant_Information!$B$13</f>
        <v>12</v>
      </c>
      <c r="AB474" s="131" t="str">
        <f>+Plant_Information!$B$14</f>
        <v>CUY</v>
      </c>
      <c r="AC474" s="70"/>
    </row>
    <row r="475" spans="17:29" x14ac:dyDescent="0.2">
      <c r="Q475" s="100" t="str">
        <f>Plant_Information!$B$6</f>
        <v>(INSERT VENDOR NAME HERE)</v>
      </c>
      <c r="R475" s="100" t="str">
        <f>'HAULING RATES- ODOT Locations'!$A$50</f>
        <v>District 4</v>
      </c>
      <c r="S475" s="100" t="str">
        <f>'HAULING RATES- ODOT Locations'!A71</f>
        <v>Summit</v>
      </c>
      <c r="T475" s="100" t="str">
        <f>'HAULING RATES- ODOT Locations'!B71</f>
        <v>8820 Darow Rd., Twinsburg, OH   44087</v>
      </c>
      <c r="U475" t="str">
        <f>'HAULING RATES- ODOT Locations'!E$8</f>
        <v>Gravel</v>
      </c>
      <c r="V475" s="146">
        <f>'HAULING RATES- ODOT Locations'!E71</f>
        <v>0</v>
      </c>
      <c r="W475" s="131" t="str">
        <f>+'Aggregate, Plant Pick-up'!$C$6</f>
        <v>LAFARGE-MARBLEHEAD "OSBORNE-CLEVELAND"</v>
      </c>
      <c r="X475" s="131" t="str">
        <f>+Plant_Information!$B$10</f>
        <v>04105-28</v>
      </c>
      <c r="Y475" s="131" t="str">
        <f>+Plant_Information!$B$11</f>
        <v>2100 CENTRAL FURNACE ROAD</v>
      </c>
      <c r="Z475" s="131" t="str">
        <f>+Plant_Information!$B$12</f>
        <v>CLEVELAND, OH, 44115</v>
      </c>
      <c r="AA475" s="131" t="str">
        <f>+Plant_Information!$B$13</f>
        <v>12</v>
      </c>
      <c r="AB475" s="131" t="str">
        <f>+Plant_Information!$B$14</f>
        <v>CUY</v>
      </c>
      <c r="AC475" s="70"/>
    </row>
    <row r="476" spans="17:29" x14ac:dyDescent="0.2">
      <c r="Q476" s="100" t="str">
        <f>Plant_Information!$B$6</f>
        <v>(INSERT VENDOR NAME HERE)</v>
      </c>
      <c r="R476" s="100" t="str">
        <f>'HAULING RATES- ODOT Locations'!$A$50</f>
        <v>District 4</v>
      </c>
      <c r="S476" s="100" t="str">
        <f>'HAULING RATES- ODOT Locations'!A72</f>
        <v>Summit</v>
      </c>
      <c r="T476" s="100" t="str">
        <f>'HAULING RATES- ODOT Locations'!B72</f>
        <v>Norton OP, 3349 SR 21, Norton, OH   44203 (Interchange  I-76 and SR 21)</v>
      </c>
      <c r="U476" t="str">
        <f>'HAULING RATES- ODOT Locations'!E$8</f>
        <v>Gravel</v>
      </c>
      <c r="V476" s="146">
        <f>'HAULING RATES- ODOT Locations'!E72</f>
        <v>0</v>
      </c>
      <c r="W476" s="131" t="str">
        <f>+'Aggregate, Plant Pick-up'!$C$6</f>
        <v>LAFARGE-MARBLEHEAD "OSBORNE-CLEVELAND"</v>
      </c>
      <c r="X476" s="131" t="str">
        <f>+Plant_Information!$B$10</f>
        <v>04105-28</v>
      </c>
      <c r="Y476" s="131" t="str">
        <f>+Plant_Information!$B$11</f>
        <v>2100 CENTRAL FURNACE ROAD</v>
      </c>
      <c r="Z476" s="131" t="str">
        <f>+Plant_Information!$B$12</f>
        <v>CLEVELAND, OH, 44115</v>
      </c>
      <c r="AA476" s="131" t="str">
        <f>+Plant_Information!$B$13</f>
        <v>12</v>
      </c>
      <c r="AB476" s="131" t="str">
        <f>+Plant_Information!$B$14</f>
        <v>CUY</v>
      </c>
      <c r="AC476" s="70"/>
    </row>
    <row r="477" spans="17:29" x14ac:dyDescent="0.2">
      <c r="Q477" s="100" t="str">
        <f>Plant_Information!$B$6</f>
        <v>(INSERT VENDOR NAME HERE)</v>
      </c>
      <c r="R477" s="100" t="str">
        <f>'HAULING RATES- ODOT Locations'!$A$50</f>
        <v>District 4</v>
      </c>
      <c r="S477" s="100" t="str">
        <f>'HAULING RATES- ODOT Locations'!A73</f>
        <v>Summit</v>
      </c>
      <c r="T477" s="100" t="str">
        <f>'HAULING RATES- ODOT Locations'!B73</f>
        <v>Greensburg OP, 4377 Mt. Pleasant Road, North Canton, , OH   44272  (1/4 mi. n. of I-77 Airport exit.)</v>
      </c>
      <c r="U477" t="str">
        <f>'HAULING RATES- ODOT Locations'!E$8</f>
        <v>Gravel</v>
      </c>
      <c r="V477" s="146">
        <f>'HAULING RATES- ODOT Locations'!E73</f>
        <v>0</v>
      </c>
      <c r="W477" s="131" t="str">
        <f>+'Aggregate, Plant Pick-up'!$C$6</f>
        <v>LAFARGE-MARBLEHEAD "OSBORNE-CLEVELAND"</v>
      </c>
      <c r="X477" s="131" t="str">
        <f>+Plant_Information!$B$10</f>
        <v>04105-28</v>
      </c>
      <c r="Y477" s="131" t="str">
        <f>+Plant_Information!$B$11</f>
        <v>2100 CENTRAL FURNACE ROAD</v>
      </c>
      <c r="Z477" s="131" t="str">
        <f>+Plant_Information!$B$12</f>
        <v>CLEVELAND, OH, 44115</v>
      </c>
      <c r="AA477" s="131" t="str">
        <f>+Plant_Information!$B$13</f>
        <v>12</v>
      </c>
      <c r="AB477" s="131" t="str">
        <f>+Plant_Information!$B$14</f>
        <v>CUY</v>
      </c>
      <c r="AC477" s="70"/>
    </row>
    <row r="478" spans="17:29" x14ac:dyDescent="0.2">
      <c r="Q478" s="100" t="str">
        <f>Plant_Information!$B$6</f>
        <v>(INSERT VENDOR NAME HERE)</v>
      </c>
      <c r="R478" s="100" t="str">
        <f>'HAULING RATES- ODOT Locations'!$A$50</f>
        <v>District 4</v>
      </c>
      <c r="S478" s="100" t="str">
        <f>'HAULING RATES- ODOT Locations'!A74</f>
        <v>Summit</v>
      </c>
      <c r="T478" s="100" t="str">
        <f>'HAULING RATES- ODOT Locations'!B74</f>
        <v>Kelly Ave. OP, 1240 Starlight Dr., Akron, OH  44306</v>
      </c>
      <c r="U478" t="str">
        <f>'HAULING RATES- ODOT Locations'!E$8</f>
        <v>Gravel</v>
      </c>
      <c r="V478" s="146">
        <f>'HAULING RATES- ODOT Locations'!E74</f>
        <v>0</v>
      </c>
      <c r="W478" s="131" t="str">
        <f>+'Aggregate, Plant Pick-up'!$C$6</f>
        <v>LAFARGE-MARBLEHEAD "OSBORNE-CLEVELAND"</v>
      </c>
      <c r="X478" s="131" t="str">
        <f>+Plant_Information!$B$10</f>
        <v>04105-28</v>
      </c>
      <c r="Y478" s="131" t="str">
        <f>+Plant_Information!$B$11</f>
        <v>2100 CENTRAL FURNACE ROAD</v>
      </c>
      <c r="Z478" s="131" t="str">
        <f>+Plant_Information!$B$12</f>
        <v>CLEVELAND, OH, 44115</v>
      </c>
      <c r="AA478" s="131" t="str">
        <f>+Plant_Information!$B$13</f>
        <v>12</v>
      </c>
      <c r="AB478" s="131" t="str">
        <f>+Plant_Information!$B$14</f>
        <v>CUY</v>
      </c>
      <c r="AC478" s="70"/>
    </row>
    <row r="479" spans="17:29" x14ac:dyDescent="0.2">
      <c r="Q479" s="100" t="str">
        <f>Plant_Information!$B$6</f>
        <v>(INSERT VENDOR NAME HERE)</v>
      </c>
      <c r="R479" s="100" t="str">
        <f>'HAULING RATES- ODOT Locations'!$A$50</f>
        <v>District 4</v>
      </c>
      <c r="S479" s="100" t="str">
        <f>'HAULING RATES- ODOT Locations'!A75</f>
        <v>Trumbull</v>
      </c>
      <c r="T479" s="100" t="str">
        <f>'HAULING RATES- ODOT Locations'!B75</f>
        <v>Brookfield OP, 1590 Brookfield Rd. S.E. (SR 7), Hubbard, OH   44425</v>
      </c>
      <c r="U479" t="str">
        <f>'HAULING RATES- ODOT Locations'!E$8</f>
        <v>Gravel</v>
      </c>
      <c r="V479" s="146">
        <f>'HAULING RATES- ODOT Locations'!E75</f>
        <v>0</v>
      </c>
      <c r="W479" s="131" t="str">
        <f>+'Aggregate, Plant Pick-up'!$C$6</f>
        <v>LAFARGE-MARBLEHEAD "OSBORNE-CLEVELAND"</v>
      </c>
      <c r="X479" s="131" t="str">
        <f>+Plant_Information!$B$10</f>
        <v>04105-28</v>
      </c>
      <c r="Y479" s="131" t="str">
        <f>+Plant_Information!$B$11</f>
        <v>2100 CENTRAL FURNACE ROAD</v>
      </c>
      <c r="Z479" s="131" t="str">
        <f>+Plant_Information!$B$12</f>
        <v>CLEVELAND, OH, 44115</v>
      </c>
      <c r="AA479" s="131" t="str">
        <f>+Plant_Information!$B$13</f>
        <v>12</v>
      </c>
      <c r="AB479" s="131" t="str">
        <f>+Plant_Information!$B$14</f>
        <v>CUY</v>
      </c>
      <c r="AC479" s="70"/>
    </row>
    <row r="480" spans="17:29" x14ac:dyDescent="0.2">
      <c r="Q480" s="100" t="str">
        <f>Plant_Information!$B$6</f>
        <v>(INSERT VENDOR NAME HERE)</v>
      </c>
      <c r="R480" s="100" t="str">
        <f>'HAULING RATES- ODOT Locations'!$A$50</f>
        <v>District 4</v>
      </c>
      <c r="S480" s="100" t="str">
        <f>'HAULING RATES- ODOT Locations'!A76</f>
        <v>Trumbull</v>
      </c>
      <c r="T480" s="100" t="str">
        <f>'HAULING RATES- ODOT Locations'!B76</f>
        <v>310 Second St., Cortland, OH   44410</v>
      </c>
      <c r="U480" t="str">
        <f>'HAULING RATES- ODOT Locations'!E$8</f>
        <v>Gravel</v>
      </c>
      <c r="V480" s="146">
        <f>'HAULING RATES- ODOT Locations'!E76</f>
        <v>0</v>
      </c>
      <c r="W480" s="131" t="str">
        <f>+'Aggregate, Plant Pick-up'!$C$6</f>
        <v>LAFARGE-MARBLEHEAD "OSBORNE-CLEVELAND"</v>
      </c>
      <c r="X480" s="131" t="str">
        <f>+Plant_Information!$B$10</f>
        <v>04105-28</v>
      </c>
      <c r="Y480" s="131" t="str">
        <f>+Plant_Information!$B$11</f>
        <v>2100 CENTRAL FURNACE ROAD</v>
      </c>
      <c r="Z480" s="131" t="str">
        <f>+Plant_Information!$B$12</f>
        <v>CLEVELAND, OH, 44115</v>
      </c>
      <c r="AA480" s="131" t="str">
        <f>+Plant_Information!$B$13</f>
        <v>12</v>
      </c>
      <c r="AB480" s="131" t="str">
        <f>+Plant_Information!$B$14</f>
        <v>CUY</v>
      </c>
      <c r="AC480" s="70"/>
    </row>
    <row r="481" spans="17:29" x14ac:dyDescent="0.2">
      <c r="Q481" s="100" t="str">
        <f>Plant_Information!$B$6</f>
        <v>(INSERT VENDOR NAME HERE)</v>
      </c>
      <c r="R481" s="100" t="str">
        <f>'HAULING RATES- ODOT Locations'!$A$50</f>
        <v>District 4</v>
      </c>
      <c r="S481" s="100" t="str">
        <f>'HAULING RATES- ODOT Locations'!A77</f>
        <v>Trumbull</v>
      </c>
      <c r="T481" s="100" t="str">
        <f>'HAULING RATES- ODOT Locations'!B77</f>
        <v>Gustavus OP, 2979 Kinsman Rd., North Bloomfield, OH 44450</v>
      </c>
      <c r="U481" t="str">
        <f>'HAULING RATES- ODOT Locations'!E$8</f>
        <v>Gravel</v>
      </c>
      <c r="V481" s="146">
        <f>'HAULING RATES- ODOT Locations'!E77</f>
        <v>0</v>
      </c>
      <c r="W481" s="131" t="str">
        <f>+'Aggregate, Plant Pick-up'!$C$6</f>
        <v>LAFARGE-MARBLEHEAD "OSBORNE-CLEVELAND"</v>
      </c>
      <c r="X481" s="131" t="str">
        <f>+Plant_Information!$B$10</f>
        <v>04105-28</v>
      </c>
      <c r="Y481" s="131" t="str">
        <f>+Plant_Information!$B$11</f>
        <v>2100 CENTRAL FURNACE ROAD</v>
      </c>
      <c r="Z481" s="131" t="str">
        <f>+Plant_Information!$B$12</f>
        <v>CLEVELAND, OH, 44115</v>
      </c>
      <c r="AA481" s="131" t="str">
        <f>+Plant_Information!$B$13</f>
        <v>12</v>
      </c>
      <c r="AB481" s="131" t="str">
        <f>+Plant_Information!$B$14</f>
        <v>CUY</v>
      </c>
      <c r="AC481" s="70"/>
    </row>
    <row r="482" spans="17:29" x14ac:dyDescent="0.2">
      <c r="Q482" s="100" t="str">
        <f>Plant_Information!$B$6</f>
        <v>(INSERT VENDOR NAME HERE)</v>
      </c>
      <c r="R482" s="100" t="str">
        <f>'HAULING RATES- ODOT Locations'!$A$50</f>
        <v>District 4</v>
      </c>
      <c r="S482" s="100" t="str">
        <f>'HAULING RATES- ODOT Locations'!A78</f>
        <v>Trumbull</v>
      </c>
      <c r="T482" s="100" t="str">
        <f>'HAULING RATES- ODOT Locations'!B78</f>
        <v>Farmington OP, 6265 SR 534, W. Farmington, OH  44491</v>
      </c>
      <c r="U482" t="str">
        <f>'HAULING RATES- ODOT Locations'!E$8</f>
        <v>Gravel</v>
      </c>
      <c r="V482" s="146">
        <f>'HAULING RATES- ODOT Locations'!E78</f>
        <v>0</v>
      </c>
      <c r="W482" s="131" t="str">
        <f>+'Aggregate, Plant Pick-up'!$C$6</f>
        <v>LAFARGE-MARBLEHEAD "OSBORNE-CLEVELAND"</v>
      </c>
      <c r="X482" s="131" t="str">
        <f>+Plant_Information!$B$10</f>
        <v>04105-28</v>
      </c>
      <c r="Y482" s="131" t="str">
        <f>+Plant_Information!$B$11</f>
        <v>2100 CENTRAL FURNACE ROAD</v>
      </c>
      <c r="Z482" s="131" t="str">
        <f>+Plant_Information!$B$12</f>
        <v>CLEVELAND, OH, 44115</v>
      </c>
      <c r="AA482" s="131" t="str">
        <f>+Plant_Information!$B$13</f>
        <v>12</v>
      </c>
      <c r="AB482" s="131" t="str">
        <f>+Plant_Information!$B$14</f>
        <v>CUY</v>
      </c>
      <c r="AC482" s="70"/>
    </row>
    <row r="483" spans="17:29" x14ac:dyDescent="0.2">
      <c r="Q483" s="100" t="str">
        <f>Plant_Information!$B$6</f>
        <v>(INSERT VENDOR NAME HERE)</v>
      </c>
      <c r="R483" s="100" t="str">
        <f>'HAULING RATES- ODOT Locations'!$A$50</f>
        <v>District 4</v>
      </c>
      <c r="S483" s="100" t="str">
        <f>'HAULING RATES- ODOT Locations'!A79</f>
        <v>Trumbull</v>
      </c>
      <c r="T483" s="100" t="str">
        <f>'HAULING RATES- ODOT Locations'!B79</f>
        <v>Warren OP, SR 5 &amp; Diehl S., Leavittsburg, OH   44430</v>
      </c>
      <c r="U483" t="str">
        <f>'HAULING RATES- ODOT Locations'!E$8</f>
        <v>Gravel</v>
      </c>
      <c r="V483" s="146">
        <f>'HAULING RATES- ODOT Locations'!E79</f>
        <v>0</v>
      </c>
      <c r="W483" s="131" t="str">
        <f>+'Aggregate, Plant Pick-up'!$C$6</f>
        <v>LAFARGE-MARBLEHEAD "OSBORNE-CLEVELAND"</v>
      </c>
      <c r="X483" s="131" t="str">
        <f>+Plant_Information!$B$10</f>
        <v>04105-28</v>
      </c>
      <c r="Y483" s="131" t="str">
        <f>+Plant_Information!$B$11</f>
        <v>2100 CENTRAL FURNACE ROAD</v>
      </c>
      <c r="Z483" s="131" t="str">
        <f>+Plant_Information!$B$12</f>
        <v>CLEVELAND, OH, 44115</v>
      </c>
      <c r="AA483" s="131" t="str">
        <f>+Plant_Information!$B$13</f>
        <v>12</v>
      </c>
      <c r="AB483" s="131" t="str">
        <f>+Plant_Information!$B$14</f>
        <v>CUY</v>
      </c>
      <c r="AC483" s="70"/>
    </row>
    <row r="484" spans="17:29" x14ac:dyDescent="0.2">
      <c r="Q484" s="100" t="str">
        <f>Plant_Information!$B$6</f>
        <v>(INSERT VENDOR NAME HERE)</v>
      </c>
      <c r="R484" s="100" t="str">
        <f>'HAULING RATES- ODOT Locations'!$A$80</f>
        <v>District 5</v>
      </c>
      <c r="S484" s="100" t="str">
        <f>'HAULING RATES- ODOT Locations'!A83</f>
        <v>Coshocton</v>
      </c>
      <c r="T484" s="100" t="str">
        <f>'HAULING RATES- ODOT Locations'!B83</f>
        <v>233 Rivercrest Dr., Coshocton, OH 43812</v>
      </c>
      <c r="U484" t="str">
        <f>'HAULING RATES- ODOT Locations'!E$8</f>
        <v>Gravel</v>
      </c>
      <c r="V484" s="146">
        <f>'HAULING RATES- ODOT Locations'!E83</f>
        <v>0</v>
      </c>
      <c r="W484" s="131" t="str">
        <f>+'Aggregate, Plant Pick-up'!$C$6</f>
        <v>LAFARGE-MARBLEHEAD "OSBORNE-CLEVELAND"</v>
      </c>
      <c r="X484" s="131" t="str">
        <f>+Plant_Information!$B$10</f>
        <v>04105-28</v>
      </c>
      <c r="Y484" s="131" t="str">
        <f>+Plant_Information!$B$11</f>
        <v>2100 CENTRAL FURNACE ROAD</v>
      </c>
      <c r="Z484" s="131" t="str">
        <f>+Plant_Information!$B$12</f>
        <v>CLEVELAND, OH, 44115</v>
      </c>
      <c r="AA484" s="131" t="str">
        <f>+Plant_Information!$B$13</f>
        <v>12</v>
      </c>
      <c r="AB484" s="131" t="str">
        <f>+Plant_Information!$B$14</f>
        <v>CUY</v>
      </c>
      <c r="AC484" s="70"/>
    </row>
    <row r="485" spans="17:29" x14ac:dyDescent="0.2">
      <c r="Q485" s="100" t="str">
        <f>Plant_Information!$B$6</f>
        <v>(INSERT VENDOR NAME HERE)</v>
      </c>
      <c r="R485" s="100" t="str">
        <f>'HAULING RATES- ODOT Locations'!$A$80</f>
        <v>District 5</v>
      </c>
      <c r="S485" s="100" t="str">
        <f>'HAULING RATES- ODOT Locations'!A84</f>
        <v>Coshocton</v>
      </c>
      <c r="T485" s="100" t="str">
        <f>'HAULING RATES- ODOT Locations'!B84</f>
        <v>25939 SR 206, New Castle, OH 43843</v>
      </c>
      <c r="U485" t="str">
        <f>'HAULING RATES- ODOT Locations'!E$8</f>
        <v>Gravel</v>
      </c>
      <c r="V485" s="146">
        <f>'HAULING RATES- ODOT Locations'!E84</f>
        <v>0</v>
      </c>
      <c r="W485" s="131" t="str">
        <f>+'Aggregate, Plant Pick-up'!$C$6</f>
        <v>LAFARGE-MARBLEHEAD "OSBORNE-CLEVELAND"</v>
      </c>
      <c r="X485" s="131" t="str">
        <f>+Plant_Information!$B$10</f>
        <v>04105-28</v>
      </c>
      <c r="Y485" s="131" t="str">
        <f>+Plant_Information!$B$11</f>
        <v>2100 CENTRAL FURNACE ROAD</v>
      </c>
      <c r="Z485" s="131" t="str">
        <f>+Plant_Information!$B$12</f>
        <v>CLEVELAND, OH, 44115</v>
      </c>
      <c r="AA485" s="131" t="str">
        <f>+Plant_Information!$B$13</f>
        <v>12</v>
      </c>
      <c r="AB485" s="131" t="str">
        <f>+Plant_Information!$B$14</f>
        <v>CUY</v>
      </c>
      <c r="AC485" s="70"/>
    </row>
    <row r="486" spans="17:29" x14ac:dyDescent="0.2">
      <c r="Q486" s="100" t="str">
        <f>Plant_Information!$B$6</f>
        <v>(INSERT VENDOR NAME HERE)</v>
      </c>
      <c r="R486" s="100" t="str">
        <f>'HAULING RATES- ODOT Locations'!$A$80</f>
        <v>District 5</v>
      </c>
      <c r="S486" s="100" t="str">
        <f>'HAULING RATES- ODOT Locations'!A85</f>
        <v>Fairfield</v>
      </c>
      <c r="T486" s="100" t="str">
        <f>'HAULING RATES- ODOT Locations'!B85</f>
        <v>1894 West Market St., Baltimore, OH 43105</v>
      </c>
      <c r="U486" t="str">
        <f>'HAULING RATES- ODOT Locations'!E$8</f>
        <v>Gravel</v>
      </c>
      <c r="V486" s="146">
        <f>'HAULING RATES- ODOT Locations'!E85</f>
        <v>0</v>
      </c>
      <c r="W486" s="131" t="str">
        <f>+'Aggregate, Plant Pick-up'!$C$6</f>
        <v>LAFARGE-MARBLEHEAD "OSBORNE-CLEVELAND"</v>
      </c>
      <c r="X486" s="131" t="str">
        <f>+Plant_Information!$B$10</f>
        <v>04105-28</v>
      </c>
      <c r="Y486" s="131" t="str">
        <f>+Plant_Information!$B$11</f>
        <v>2100 CENTRAL FURNACE ROAD</v>
      </c>
      <c r="Z486" s="131" t="str">
        <f>+Plant_Information!$B$12</f>
        <v>CLEVELAND, OH, 44115</v>
      </c>
      <c r="AA486" s="131" t="str">
        <f>+Plant_Information!$B$13</f>
        <v>12</v>
      </c>
      <c r="AB486" s="131" t="str">
        <f>+Plant_Information!$B$14</f>
        <v>CUY</v>
      </c>
      <c r="AC486" s="70"/>
    </row>
    <row r="487" spans="17:29" x14ac:dyDescent="0.2">
      <c r="Q487" s="100" t="str">
        <f>Plant_Information!$B$6</f>
        <v>(INSERT VENDOR NAME HERE)</v>
      </c>
      <c r="R487" s="100" t="str">
        <f>'HAULING RATES- ODOT Locations'!$A$80</f>
        <v>District 5</v>
      </c>
      <c r="S487" s="100" t="str">
        <f>'HAULING RATES- ODOT Locations'!A86</f>
        <v>Fairfield</v>
      </c>
      <c r="T487" s="100" t="str">
        <f>'HAULING RATES- ODOT Locations'!B86</f>
        <v>3265 West Fair Avenue, Lancaster, OH 43130</v>
      </c>
      <c r="U487" t="str">
        <f>'HAULING RATES- ODOT Locations'!E$8</f>
        <v>Gravel</v>
      </c>
      <c r="V487" s="146">
        <f>'HAULING RATES- ODOT Locations'!E86</f>
        <v>0</v>
      </c>
      <c r="W487" s="131" t="str">
        <f>+'Aggregate, Plant Pick-up'!$C$6</f>
        <v>LAFARGE-MARBLEHEAD "OSBORNE-CLEVELAND"</v>
      </c>
      <c r="X487" s="131" t="str">
        <f>+Plant_Information!$B$10</f>
        <v>04105-28</v>
      </c>
      <c r="Y487" s="131" t="str">
        <f>+Plant_Information!$B$11</f>
        <v>2100 CENTRAL FURNACE ROAD</v>
      </c>
      <c r="Z487" s="131" t="str">
        <f>+Plant_Information!$B$12</f>
        <v>CLEVELAND, OH, 44115</v>
      </c>
      <c r="AA487" s="131" t="str">
        <f>+Plant_Information!$B$13</f>
        <v>12</v>
      </c>
      <c r="AB487" s="131" t="str">
        <f>+Plant_Information!$B$14</f>
        <v>CUY</v>
      </c>
      <c r="AC487" s="70"/>
    </row>
    <row r="488" spans="17:29" x14ac:dyDescent="0.2">
      <c r="Q488" s="100" t="str">
        <f>Plant_Information!$B$6</f>
        <v>(INSERT VENDOR NAME HERE)</v>
      </c>
      <c r="R488" s="100" t="str">
        <f>'HAULING RATES- ODOT Locations'!$A$80</f>
        <v>District 5</v>
      </c>
      <c r="S488" s="100" t="str">
        <f>'HAULING RATES- ODOT Locations'!A87</f>
        <v>Fairfield</v>
      </c>
      <c r="T488" s="100" t="str">
        <f>'HAULING RATES- ODOT Locations'!B87</f>
        <v>5840 Logan-Thornville Rd. NE, Rushville, OH 43150</v>
      </c>
      <c r="U488" t="str">
        <f>'HAULING RATES- ODOT Locations'!E$8</f>
        <v>Gravel</v>
      </c>
      <c r="V488" s="146">
        <f>'HAULING RATES- ODOT Locations'!E87</f>
        <v>0</v>
      </c>
      <c r="W488" s="131" t="str">
        <f>+'Aggregate, Plant Pick-up'!$C$6</f>
        <v>LAFARGE-MARBLEHEAD "OSBORNE-CLEVELAND"</v>
      </c>
      <c r="X488" s="131" t="str">
        <f>+Plant_Information!$B$10</f>
        <v>04105-28</v>
      </c>
      <c r="Y488" s="131" t="str">
        <f>+Plant_Information!$B$11</f>
        <v>2100 CENTRAL FURNACE ROAD</v>
      </c>
      <c r="Z488" s="131" t="str">
        <f>+Plant_Information!$B$12</f>
        <v>CLEVELAND, OH, 44115</v>
      </c>
      <c r="AA488" s="131" t="str">
        <f>+Plant_Information!$B$13</f>
        <v>12</v>
      </c>
      <c r="AB488" s="131" t="str">
        <f>+Plant_Information!$B$14</f>
        <v>CUY</v>
      </c>
      <c r="AC488" s="70"/>
    </row>
    <row r="489" spans="17:29" x14ac:dyDescent="0.2">
      <c r="Q489" s="100" t="str">
        <f>Plant_Information!$B$6</f>
        <v>(INSERT VENDOR NAME HERE)</v>
      </c>
      <c r="R489" s="100" t="str">
        <f>'HAULING RATES- ODOT Locations'!$A$80</f>
        <v>District 5</v>
      </c>
      <c r="S489" s="100" t="str">
        <f>'HAULING RATES- ODOT Locations'!A88</f>
        <v>Guernsey</v>
      </c>
      <c r="T489" s="100" t="str">
        <f>'HAULING RATES- ODOT Locations'!B88</f>
        <v>6490 Glenn Highway, Cambridge, OH 43725</v>
      </c>
      <c r="U489" t="str">
        <f>'HAULING RATES- ODOT Locations'!E$8</f>
        <v>Gravel</v>
      </c>
      <c r="V489" s="146">
        <f>'HAULING RATES- ODOT Locations'!E88</f>
        <v>0</v>
      </c>
      <c r="W489" s="131" t="str">
        <f>+'Aggregate, Plant Pick-up'!$C$6</f>
        <v>LAFARGE-MARBLEHEAD "OSBORNE-CLEVELAND"</v>
      </c>
      <c r="X489" s="131" t="str">
        <f>+Plant_Information!$B$10</f>
        <v>04105-28</v>
      </c>
      <c r="Y489" s="131" t="str">
        <f>+Plant_Information!$B$11</f>
        <v>2100 CENTRAL FURNACE ROAD</v>
      </c>
      <c r="Z489" s="131" t="str">
        <f>+Plant_Information!$B$12</f>
        <v>CLEVELAND, OH, 44115</v>
      </c>
      <c r="AA489" s="131" t="str">
        <f>+Plant_Information!$B$13</f>
        <v>12</v>
      </c>
      <c r="AB489" s="131" t="str">
        <f>+Plant_Information!$B$14</f>
        <v>CUY</v>
      </c>
      <c r="AC489" s="70"/>
    </row>
    <row r="490" spans="17:29" x14ac:dyDescent="0.2">
      <c r="Q490" s="100" t="str">
        <f>Plant_Information!$B$6</f>
        <v>(INSERT VENDOR NAME HERE)</v>
      </c>
      <c r="R490" s="100" t="str">
        <f>'HAULING RATES- ODOT Locations'!$A$80</f>
        <v>District 5</v>
      </c>
      <c r="S490" s="100" t="str">
        <f>'HAULING RATES- ODOT Locations'!A89</f>
        <v>Guernsey</v>
      </c>
      <c r="T490" s="100" t="str">
        <f>'HAULING RATES- ODOT Locations'!B89</f>
        <v>North Salem OP, 72450 Old 21 Rd., Kimbolton, OH 43749</v>
      </c>
      <c r="U490" t="str">
        <f>'HAULING RATES- ODOT Locations'!E$8</f>
        <v>Gravel</v>
      </c>
      <c r="V490" s="146">
        <f>'HAULING RATES- ODOT Locations'!E89</f>
        <v>0</v>
      </c>
      <c r="W490" s="131" t="str">
        <f>+'Aggregate, Plant Pick-up'!$C$6</f>
        <v>LAFARGE-MARBLEHEAD "OSBORNE-CLEVELAND"</v>
      </c>
      <c r="X490" s="131" t="str">
        <f>+Plant_Information!$B$10</f>
        <v>04105-28</v>
      </c>
      <c r="Y490" s="131" t="str">
        <f>+Plant_Information!$B$11</f>
        <v>2100 CENTRAL FURNACE ROAD</v>
      </c>
      <c r="Z490" s="131" t="str">
        <f>+Plant_Information!$B$12</f>
        <v>CLEVELAND, OH, 44115</v>
      </c>
      <c r="AA490" s="131" t="str">
        <f>+Plant_Information!$B$13</f>
        <v>12</v>
      </c>
      <c r="AB490" s="131" t="str">
        <f>+Plant_Information!$B$14</f>
        <v>CUY</v>
      </c>
      <c r="AC490" s="70"/>
    </row>
    <row r="491" spans="17:29" x14ac:dyDescent="0.2">
      <c r="Q491" s="100" t="str">
        <f>Plant_Information!$B$6</f>
        <v>(INSERT VENDOR NAME HERE)</v>
      </c>
      <c r="R491" s="100" t="str">
        <f>'HAULING RATES- ODOT Locations'!$A$80</f>
        <v>District 5</v>
      </c>
      <c r="S491" s="100" t="str">
        <f>'HAULING RATES- ODOT Locations'!A90</f>
        <v>Guernsey</v>
      </c>
      <c r="T491" s="100" t="str">
        <f>'HAULING RATES- ODOT Locations'!B90</f>
        <v>Old Washington OP, 63064 Winter Green Rd., Lore City, OH 43755</v>
      </c>
      <c r="U491" t="str">
        <f>'HAULING RATES- ODOT Locations'!E$8</f>
        <v>Gravel</v>
      </c>
      <c r="V491" s="146">
        <f>'HAULING RATES- ODOT Locations'!E90</f>
        <v>0</v>
      </c>
      <c r="W491" s="131" t="str">
        <f>+'Aggregate, Plant Pick-up'!$C$6</f>
        <v>LAFARGE-MARBLEHEAD "OSBORNE-CLEVELAND"</v>
      </c>
      <c r="X491" s="131" t="str">
        <f>+Plant_Information!$B$10</f>
        <v>04105-28</v>
      </c>
      <c r="Y491" s="131" t="str">
        <f>+Plant_Information!$B$11</f>
        <v>2100 CENTRAL FURNACE ROAD</v>
      </c>
      <c r="Z491" s="131" t="str">
        <f>+Plant_Information!$B$12</f>
        <v>CLEVELAND, OH, 44115</v>
      </c>
      <c r="AA491" s="131" t="str">
        <f>+Plant_Information!$B$13</f>
        <v>12</v>
      </c>
      <c r="AB491" s="131" t="str">
        <f>+Plant_Information!$B$14</f>
        <v>CUY</v>
      </c>
      <c r="AC491" s="70"/>
    </row>
    <row r="492" spans="17:29" x14ac:dyDescent="0.2">
      <c r="Q492" s="100" t="str">
        <f>Plant_Information!$B$6</f>
        <v>(INSERT VENDOR NAME HERE)</v>
      </c>
      <c r="R492" s="100" t="str">
        <f>'HAULING RATES- ODOT Locations'!$A$80</f>
        <v>District 5</v>
      </c>
      <c r="S492" s="100" t="str">
        <f>'HAULING RATES- ODOT Locations'!A91</f>
        <v>Knox</v>
      </c>
      <c r="T492" s="100" t="str">
        <f>'HAULING RATES- ODOT Locations'!B91</f>
        <v>505 Harcourt Rd., Mt. Vernon, OH 43050</v>
      </c>
      <c r="U492" t="str">
        <f>'HAULING RATES- ODOT Locations'!E$8</f>
        <v>Gravel</v>
      </c>
      <c r="V492" s="146">
        <f>'HAULING RATES- ODOT Locations'!E91</f>
        <v>0</v>
      </c>
      <c r="W492" s="131" t="str">
        <f>+'Aggregate, Plant Pick-up'!$C$6</f>
        <v>LAFARGE-MARBLEHEAD "OSBORNE-CLEVELAND"</v>
      </c>
      <c r="X492" s="131" t="str">
        <f>+Plant_Information!$B$10</f>
        <v>04105-28</v>
      </c>
      <c r="Y492" s="131" t="str">
        <f>+Plant_Information!$B$11</f>
        <v>2100 CENTRAL FURNACE ROAD</v>
      </c>
      <c r="Z492" s="131" t="str">
        <f>+Plant_Information!$B$12</f>
        <v>CLEVELAND, OH, 44115</v>
      </c>
      <c r="AA492" s="131" t="str">
        <f>+Plant_Information!$B$13</f>
        <v>12</v>
      </c>
      <c r="AB492" s="131" t="str">
        <f>+Plant_Information!$B$14</f>
        <v>CUY</v>
      </c>
      <c r="AC492" s="70"/>
    </row>
    <row r="493" spans="17:29" x14ac:dyDescent="0.2">
      <c r="Q493" s="100" t="str">
        <f>Plant_Information!$B$6</f>
        <v>(INSERT VENDOR NAME HERE)</v>
      </c>
      <c r="R493" s="100" t="str">
        <f>'HAULING RATES- ODOT Locations'!$A$80</f>
        <v>District 5</v>
      </c>
      <c r="S493" s="100" t="str">
        <f>'HAULING RATES- ODOT Locations'!A92</f>
        <v>Knox</v>
      </c>
      <c r="T493" s="100" t="str">
        <f>'HAULING RATES- ODOT Locations'!B92</f>
        <v>44 Mt. Vernon Ave., Fredericktown, 43010</v>
      </c>
      <c r="U493" t="str">
        <f>'HAULING RATES- ODOT Locations'!E$8</f>
        <v>Gravel</v>
      </c>
      <c r="V493" s="146">
        <f>'HAULING RATES- ODOT Locations'!E92</f>
        <v>0</v>
      </c>
      <c r="W493" s="131" t="str">
        <f>+'Aggregate, Plant Pick-up'!$C$6</f>
        <v>LAFARGE-MARBLEHEAD "OSBORNE-CLEVELAND"</v>
      </c>
      <c r="X493" s="131" t="str">
        <f>+Plant_Information!$B$10</f>
        <v>04105-28</v>
      </c>
      <c r="Y493" s="131" t="str">
        <f>+Plant_Information!$B$11</f>
        <v>2100 CENTRAL FURNACE ROAD</v>
      </c>
      <c r="Z493" s="131" t="str">
        <f>+Plant_Information!$B$12</f>
        <v>CLEVELAND, OH, 44115</v>
      </c>
      <c r="AA493" s="131" t="str">
        <f>+Plant_Information!$B$13</f>
        <v>12</v>
      </c>
      <c r="AB493" s="131" t="str">
        <f>+Plant_Information!$B$14</f>
        <v>CUY</v>
      </c>
      <c r="AC493" s="70"/>
    </row>
    <row r="494" spans="17:29" x14ac:dyDescent="0.2">
      <c r="Q494" s="100" t="str">
        <f>Plant_Information!$B$6</f>
        <v>(INSERT VENDOR NAME HERE)</v>
      </c>
      <c r="R494" s="100" t="str">
        <f>'HAULING RATES- ODOT Locations'!$A$80</f>
        <v>District 5</v>
      </c>
      <c r="S494" s="100" t="str">
        <f>'HAULING RATES- ODOT Locations'!A93</f>
        <v>Licking</v>
      </c>
      <c r="T494" s="100" t="str">
        <f>'HAULING RATES- ODOT Locations'!B93</f>
        <v>9600 Jacksontown Rd., Jacksontown, OH 43030</v>
      </c>
      <c r="U494" t="str">
        <f>'HAULING RATES- ODOT Locations'!E$8</f>
        <v>Gravel</v>
      </c>
      <c r="V494" s="146">
        <f>'HAULING RATES- ODOT Locations'!E93</f>
        <v>0</v>
      </c>
      <c r="W494" s="131" t="str">
        <f>+'Aggregate, Plant Pick-up'!$C$6</f>
        <v>LAFARGE-MARBLEHEAD "OSBORNE-CLEVELAND"</v>
      </c>
      <c r="X494" s="131" t="str">
        <f>+Plant_Information!$B$10</f>
        <v>04105-28</v>
      </c>
      <c r="Y494" s="131" t="str">
        <f>+Plant_Information!$B$11</f>
        <v>2100 CENTRAL FURNACE ROAD</v>
      </c>
      <c r="Z494" s="131" t="str">
        <f>+Plant_Information!$B$12</f>
        <v>CLEVELAND, OH, 44115</v>
      </c>
      <c r="AA494" s="131" t="str">
        <f>+Plant_Information!$B$13</f>
        <v>12</v>
      </c>
      <c r="AB494" s="131" t="str">
        <f>+Plant_Information!$B$14</f>
        <v>CUY</v>
      </c>
      <c r="AC494" s="70"/>
    </row>
    <row r="495" spans="17:29" x14ac:dyDescent="0.2">
      <c r="Q495" s="100" t="str">
        <f>Plant_Information!$B$6</f>
        <v>(INSERT VENDOR NAME HERE)</v>
      </c>
      <c r="R495" s="100" t="str">
        <f>'HAULING RATES- ODOT Locations'!$A$80</f>
        <v>District 5</v>
      </c>
      <c r="S495" s="100" t="str">
        <f>'HAULING RATES- ODOT Locations'!A94</f>
        <v>Licking</v>
      </c>
      <c r="T495" s="100" t="str">
        <f>'HAULING RATES- ODOT Locations'!B94</f>
        <v>Etna OP, 10250 Refugee Rd., Pataskala, OH 43062</v>
      </c>
      <c r="U495" t="str">
        <f>'HAULING RATES- ODOT Locations'!E$8</f>
        <v>Gravel</v>
      </c>
      <c r="V495" s="146">
        <f>'HAULING RATES- ODOT Locations'!E94</f>
        <v>0</v>
      </c>
      <c r="W495" s="131" t="str">
        <f>+'Aggregate, Plant Pick-up'!$C$6</f>
        <v>LAFARGE-MARBLEHEAD "OSBORNE-CLEVELAND"</v>
      </c>
      <c r="X495" s="131" t="str">
        <f>+Plant_Information!$B$10</f>
        <v>04105-28</v>
      </c>
      <c r="Y495" s="131" t="str">
        <f>+Plant_Information!$B$11</f>
        <v>2100 CENTRAL FURNACE ROAD</v>
      </c>
      <c r="Z495" s="131" t="str">
        <f>+Plant_Information!$B$12</f>
        <v>CLEVELAND, OH, 44115</v>
      </c>
      <c r="AA495" s="131" t="str">
        <f>+Plant_Information!$B$13</f>
        <v>12</v>
      </c>
      <c r="AB495" s="131" t="str">
        <f>+Plant_Information!$B$14</f>
        <v>CUY</v>
      </c>
      <c r="AC495" s="70"/>
    </row>
    <row r="496" spans="17:29" x14ac:dyDescent="0.2">
      <c r="Q496" s="100" t="str">
        <f>Plant_Information!$B$6</f>
        <v>(INSERT VENDOR NAME HERE)</v>
      </c>
      <c r="R496" s="100" t="str">
        <f>'HAULING RATES- ODOT Locations'!$A$80</f>
        <v>District 5</v>
      </c>
      <c r="S496" s="100" t="str">
        <f>'HAULING RATES- ODOT Locations'!A95</f>
        <v>Licking</v>
      </c>
      <c r="T496" s="100" t="str">
        <f>'HAULING RATES- ODOT Locations'!B95</f>
        <v>2142 Johnstown-Utica Rd., Utica, OH 43080</v>
      </c>
      <c r="U496" t="str">
        <f>'HAULING RATES- ODOT Locations'!E$8</f>
        <v>Gravel</v>
      </c>
      <c r="V496" s="146">
        <f>'HAULING RATES- ODOT Locations'!E95</f>
        <v>0</v>
      </c>
      <c r="W496" s="131" t="str">
        <f>+'Aggregate, Plant Pick-up'!$C$6</f>
        <v>LAFARGE-MARBLEHEAD "OSBORNE-CLEVELAND"</v>
      </c>
      <c r="X496" s="131" t="str">
        <f>+Plant_Information!$B$10</f>
        <v>04105-28</v>
      </c>
      <c r="Y496" s="131" t="str">
        <f>+Plant_Information!$B$11</f>
        <v>2100 CENTRAL FURNACE ROAD</v>
      </c>
      <c r="Z496" s="131" t="str">
        <f>+Plant_Information!$B$12</f>
        <v>CLEVELAND, OH, 44115</v>
      </c>
      <c r="AA496" s="131" t="str">
        <f>+Plant_Information!$B$13</f>
        <v>12</v>
      </c>
      <c r="AB496" s="131" t="str">
        <f>+Plant_Information!$B$14</f>
        <v>CUY</v>
      </c>
      <c r="AC496" s="70"/>
    </row>
    <row r="497" spans="17:29" x14ac:dyDescent="0.2">
      <c r="Q497" s="100" t="str">
        <f>Plant_Information!$B$6</f>
        <v>(INSERT VENDOR NAME HERE)</v>
      </c>
      <c r="R497" s="100" t="str">
        <f>'HAULING RATES- ODOT Locations'!$A$80</f>
        <v>District 5</v>
      </c>
      <c r="S497" s="100" t="str">
        <f>'HAULING RATES- ODOT Locations'!A96</f>
        <v>Licking</v>
      </c>
      <c r="T497" s="100" t="str">
        <f>'HAULING RATES- ODOT Locations'!B96</f>
        <v>10694 Brownsville Rd., SW, Brownsville, OH 43721</v>
      </c>
      <c r="U497" t="str">
        <f>'HAULING RATES- ODOT Locations'!E$8</f>
        <v>Gravel</v>
      </c>
      <c r="V497" s="146">
        <f>'HAULING RATES- ODOT Locations'!E96</f>
        <v>0</v>
      </c>
      <c r="W497" s="131" t="str">
        <f>+'Aggregate, Plant Pick-up'!$C$6</f>
        <v>LAFARGE-MARBLEHEAD "OSBORNE-CLEVELAND"</v>
      </c>
      <c r="X497" s="131" t="str">
        <f>+Plant_Information!$B$10</f>
        <v>04105-28</v>
      </c>
      <c r="Y497" s="131" t="str">
        <f>+Plant_Information!$B$11</f>
        <v>2100 CENTRAL FURNACE ROAD</v>
      </c>
      <c r="Z497" s="131" t="str">
        <f>+Plant_Information!$B$12</f>
        <v>CLEVELAND, OH, 44115</v>
      </c>
      <c r="AA497" s="131" t="str">
        <f>+Plant_Information!$B$13</f>
        <v>12</v>
      </c>
      <c r="AB497" s="131" t="str">
        <f>+Plant_Information!$B$14</f>
        <v>CUY</v>
      </c>
      <c r="AC497" s="70"/>
    </row>
    <row r="498" spans="17:29" x14ac:dyDescent="0.2">
      <c r="Q498" s="100" t="str">
        <f>Plant_Information!$B$6</f>
        <v>(INSERT VENDOR NAME HERE)</v>
      </c>
      <c r="R498" s="100" t="str">
        <f>'HAULING RATES- ODOT Locations'!$A$80</f>
        <v>District 5</v>
      </c>
      <c r="S498" s="100" t="str">
        <f>'HAULING RATES- ODOT Locations'!A97</f>
        <v>Licking</v>
      </c>
      <c r="T498" s="100" t="str">
        <f>'HAULING RATES- ODOT Locations'!B97</f>
        <v>Marne OP, 11416 Marne Rd., Newark, OH 43055</v>
      </c>
      <c r="U498" t="str">
        <f>'HAULING RATES- ODOT Locations'!E$8</f>
        <v>Gravel</v>
      </c>
      <c r="V498" s="146">
        <f>'HAULING RATES- ODOT Locations'!E97</f>
        <v>0</v>
      </c>
      <c r="W498" s="131" t="str">
        <f>+'Aggregate, Plant Pick-up'!$C$6</f>
        <v>LAFARGE-MARBLEHEAD "OSBORNE-CLEVELAND"</v>
      </c>
      <c r="X498" s="131" t="str">
        <f>+Plant_Information!$B$10</f>
        <v>04105-28</v>
      </c>
      <c r="Y498" s="131" t="str">
        <f>+Plant_Information!$B$11</f>
        <v>2100 CENTRAL FURNACE ROAD</v>
      </c>
      <c r="Z498" s="131" t="str">
        <f>+Plant_Information!$B$12</f>
        <v>CLEVELAND, OH, 44115</v>
      </c>
      <c r="AA498" s="131" t="str">
        <f>+Plant_Information!$B$13</f>
        <v>12</v>
      </c>
      <c r="AB498" s="131" t="str">
        <f>+Plant_Information!$B$14</f>
        <v>CUY</v>
      </c>
      <c r="AC498" s="70"/>
    </row>
    <row r="499" spans="17:29" x14ac:dyDescent="0.2">
      <c r="Q499" s="100" t="str">
        <f>Plant_Information!$B$6</f>
        <v>(INSERT VENDOR NAME HERE)</v>
      </c>
      <c r="R499" s="100" t="str">
        <f>'HAULING RATES- ODOT Locations'!$A$80</f>
        <v>District 5</v>
      </c>
      <c r="S499" s="100" t="str">
        <f>'HAULING RATES- ODOT Locations'!A98</f>
        <v>Muskingum</v>
      </c>
      <c r="T499" s="100" t="str">
        <f>'HAULING RATES- ODOT Locations'!B98</f>
        <v>3399 East Pike, Zanesville, OH 43701</v>
      </c>
      <c r="U499" t="str">
        <f>'HAULING RATES- ODOT Locations'!E$8</f>
        <v>Gravel</v>
      </c>
      <c r="V499" s="146">
        <f>'HAULING RATES- ODOT Locations'!E98</f>
        <v>0</v>
      </c>
      <c r="W499" s="131" t="str">
        <f>+'Aggregate, Plant Pick-up'!$C$6</f>
        <v>LAFARGE-MARBLEHEAD "OSBORNE-CLEVELAND"</v>
      </c>
      <c r="X499" s="131" t="str">
        <f>+Plant_Information!$B$10</f>
        <v>04105-28</v>
      </c>
      <c r="Y499" s="131" t="str">
        <f>+Plant_Information!$B$11</f>
        <v>2100 CENTRAL FURNACE ROAD</v>
      </c>
      <c r="Z499" s="131" t="str">
        <f>+Plant_Information!$B$12</f>
        <v>CLEVELAND, OH, 44115</v>
      </c>
      <c r="AA499" s="131" t="str">
        <f>+Plant_Information!$B$13</f>
        <v>12</v>
      </c>
      <c r="AB499" s="131" t="str">
        <f>+Plant_Information!$B$14</f>
        <v>CUY</v>
      </c>
      <c r="AC499" s="70"/>
    </row>
    <row r="500" spans="17:29" x14ac:dyDescent="0.2">
      <c r="Q500" s="100" t="str">
        <f>Plant_Information!$B$6</f>
        <v>(INSERT VENDOR NAME HERE)</v>
      </c>
      <c r="R500" s="100" t="str">
        <f>'HAULING RATES- ODOT Locations'!$A$80</f>
        <v>District 5</v>
      </c>
      <c r="S500" s="100" t="str">
        <f>'HAULING RATES- ODOT Locations'!A99</f>
        <v>Muskingum</v>
      </c>
      <c r="T500" s="100" t="str">
        <f>'HAULING RATES- ODOT Locations'!B99</f>
        <v>10040 North Pointe Rd., Dresden, OH 43821</v>
      </c>
      <c r="U500" t="str">
        <f>'HAULING RATES- ODOT Locations'!E$8</f>
        <v>Gravel</v>
      </c>
      <c r="V500" s="146">
        <f>'HAULING RATES- ODOT Locations'!E99</f>
        <v>0</v>
      </c>
      <c r="W500" s="131" t="str">
        <f>+'Aggregate, Plant Pick-up'!$C$6</f>
        <v>LAFARGE-MARBLEHEAD "OSBORNE-CLEVELAND"</v>
      </c>
      <c r="X500" s="131" t="str">
        <f>+Plant_Information!$B$10</f>
        <v>04105-28</v>
      </c>
      <c r="Y500" s="131" t="str">
        <f>+Plant_Information!$B$11</f>
        <v>2100 CENTRAL FURNACE ROAD</v>
      </c>
      <c r="Z500" s="131" t="str">
        <f>+Plant_Information!$B$12</f>
        <v>CLEVELAND, OH, 44115</v>
      </c>
      <c r="AA500" s="131" t="str">
        <f>+Plant_Information!$B$13</f>
        <v>12</v>
      </c>
      <c r="AB500" s="131" t="str">
        <f>+Plant_Information!$B$14</f>
        <v>CUY</v>
      </c>
      <c r="AC500" s="70"/>
    </row>
    <row r="501" spans="17:29" x14ac:dyDescent="0.2">
      <c r="Q501" s="100" t="str">
        <f>Plant_Information!$B$6</f>
        <v>(INSERT VENDOR NAME HERE)</v>
      </c>
      <c r="R501" s="100" t="str">
        <f>'HAULING RATES- ODOT Locations'!$A$80</f>
        <v>District 5</v>
      </c>
      <c r="S501" s="100" t="str">
        <f>'HAULING RATES- ODOT Locations'!A100</f>
        <v>Muskingum</v>
      </c>
      <c r="T501" s="100" t="str">
        <f>'HAULING RATES- ODOT Locations'!B100</f>
        <v>4625 South River Road, Duncan Falls, OH 43734</v>
      </c>
      <c r="U501" t="str">
        <f>'HAULING RATES- ODOT Locations'!E$8</f>
        <v>Gravel</v>
      </c>
      <c r="V501" s="146">
        <f>'HAULING RATES- ODOT Locations'!E100</f>
        <v>0</v>
      </c>
      <c r="W501" s="131" t="str">
        <f>+'Aggregate, Plant Pick-up'!$C$6</f>
        <v>LAFARGE-MARBLEHEAD "OSBORNE-CLEVELAND"</v>
      </c>
      <c r="X501" s="131" t="str">
        <f>+Plant_Information!$B$10</f>
        <v>04105-28</v>
      </c>
      <c r="Y501" s="131" t="str">
        <f>+Plant_Information!$B$11</f>
        <v>2100 CENTRAL FURNACE ROAD</v>
      </c>
      <c r="Z501" s="131" t="str">
        <f>+Plant_Information!$B$12</f>
        <v>CLEVELAND, OH, 44115</v>
      </c>
      <c r="AA501" s="131" t="str">
        <f>+Plant_Information!$B$13</f>
        <v>12</v>
      </c>
      <c r="AB501" s="131" t="str">
        <f>+Plant_Information!$B$14</f>
        <v>CUY</v>
      </c>
      <c r="AC501" s="70"/>
    </row>
    <row r="502" spans="17:29" x14ac:dyDescent="0.2">
      <c r="Q502" s="100" t="str">
        <f>Plant_Information!$B$6</f>
        <v>(INSERT VENDOR NAME HERE)</v>
      </c>
      <c r="R502" s="100" t="str">
        <f>'HAULING RATES- ODOT Locations'!$A$80</f>
        <v>District 5</v>
      </c>
      <c r="S502" s="100" t="str">
        <f>'HAULING RATES- ODOT Locations'!A101</f>
        <v>Muskingum</v>
      </c>
      <c r="T502" s="100" t="str">
        <f>'HAULING RATES- ODOT Locations'!B101</f>
        <v>Moxahala OP, 3799 Maysville Pike, South Zanesville, OH 43701</v>
      </c>
      <c r="U502" t="str">
        <f>'HAULING RATES- ODOT Locations'!E$8</f>
        <v>Gravel</v>
      </c>
      <c r="V502" s="146">
        <f>'HAULING RATES- ODOT Locations'!E101</f>
        <v>0</v>
      </c>
      <c r="W502" s="131" t="str">
        <f>+'Aggregate, Plant Pick-up'!$C$6</f>
        <v>LAFARGE-MARBLEHEAD "OSBORNE-CLEVELAND"</v>
      </c>
      <c r="X502" s="131" t="str">
        <f>+Plant_Information!$B$10</f>
        <v>04105-28</v>
      </c>
      <c r="Y502" s="131" t="str">
        <f>+Plant_Information!$B$11</f>
        <v>2100 CENTRAL FURNACE ROAD</v>
      </c>
      <c r="Z502" s="131" t="str">
        <f>+Plant_Information!$B$12</f>
        <v>CLEVELAND, OH, 44115</v>
      </c>
      <c r="AA502" s="131" t="str">
        <f>+Plant_Information!$B$13</f>
        <v>12</v>
      </c>
      <c r="AB502" s="131" t="str">
        <f>+Plant_Information!$B$14</f>
        <v>CUY</v>
      </c>
      <c r="AC502" s="70"/>
    </row>
    <row r="503" spans="17:29" x14ac:dyDescent="0.2">
      <c r="Q503" s="100" t="str">
        <f>Plant_Information!$B$6</f>
        <v>(INSERT VENDOR NAME HERE)</v>
      </c>
      <c r="R503" s="100" t="str">
        <f>'HAULING RATES- ODOT Locations'!$A$80</f>
        <v>District 5</v>
      </c>
      <c r="S503" s="100" t="str">
        <f>'HAULING RATES- ODOT Locations'!A102</f>
        <v>Perry</v>
      </c>
      <c r="T503" s="100" t="str">
        <f>'HAULING RATES- ODOT Locations'!B102</f>
        <v>2405 SR 13, New Lexington, OH 43764  ( 0.3 mi. n. of SR 37)</v>
      </c>
      <c r="U503" t="str">
        <f>'HAULING RATES- ODOT Locations'!E$8</f>
        <v>Gravel</v>
      </c>
      <c r="V503" s="146">
        <f>'HAULING RATES- ODOT Locations'!E102</f>
        <v>0</v>
      </c>
      <c r="W503" s="131" t="str">
        <f>+'Aggregate, Plant Pick-up'!$C$6</f>
        <v>LAFARGE-MARBLEHEAD "OSBORNE-CLEVELAND"</v>
      </c>
      <c r="X503" s="131" t="str">
        <f>+Plant_Information!$B$10</f>
        <v>04105-28</v>
      </c>
      <c r="Y503" s="131" t="str">
        <f>+Plant_Information!$B$11</f>
        <v>2100 CENTRAL FURNACE ROAD</v>
      </c>
      <c r="Z503" s="131" t="str">
        <f>+Plant_Information!$B$12</f>
        <v>CLEVELAND, OH, 44115</v>
      </c>
      <c r="AA503" s="131" t="str">
        <f>+Plant_Information!$B$13</f>
        <v>12</v>
      </c>
      <c r="AB503" s="131" t="str">
        <f>+Plant_Information!$B$14</f>
        <v>CUY</v>
      </c>
      <c r="AC503" s="70"/>
    </row>
    <row r="504" spans="17:29" x14ac:dyDescent="0.2">
      <c r="Q504" s="100" t="str">
        <f>Plant_Information!$B$6</f>
        <v>(INSERT VENDOR NAME HERE)</v>
      </c>
      <c r="R504" s="100" t="str">
        <f>'HAULING RATES- ODOT Locations'!$A$80</f>
        <v>District 5</v>
      </c>
      <c r="S504" s="100" t="str">
        <f>'HAULING RATES- ODOT Locations'!A103</f>
        <v>Perry</v>
      </c>
      <c r="T504" s="100" t="str">
        <f>'HAULING RATES- ODOT Locations'!B103</f>
        <v>8686 SR 155, Shawnee, OH 43782</v>
      </c>
      <c r="U504" t="str">
        <f>'HAULING RATES- ODOT Locations'!E$8</f>
        <v>Gravel</v>
      </c>
      <c r="V504" s="146">
        <f>'HAULING RATES- ODOT Locations'!E103</f>
        <v>0</v>
      </c>
      <c r="W504" s="131" t="str">
        <f>+'Aggregate, Plant Pick-up'!$C$6</f>
        <v>LAFARGE-MARBLEHEAD "OSBORNE-CLEVELAND"</v>
      </c>
      <c r="X504" s="131" t="str">
        <f>+Plant_Information!$B$10</f>
        <v>04105-28</v>
      </c>
      <c r="Y504" s="131" t="str">
        <f>+Plant_Information!$B$11</f>
        <v>2100 CENTRAL FURNACE ROAD</v>
      </c>
      <c r="Z504" s="131" t="str">
        <f>+Plant_Information!$B$12</f>
        <v>CLEVELAND, OH, 44115</v>
      </c>
      <c r="AA504" s="131" t="str">
        <f>+Plant_Information!$B$13</f>
        <v>12</v>
      </c>
      <c r="AB504" s="131" t="str">
        <f>+Plant_Information!$B$14</f>
        <v>CUY</v>
      </c>
      <c r="AC504" s="70"/>
    </row>
    <row r="505" spans="17:29" x14ac:dyDescent="0.2">
      <c r="Q505" s="100" t="str">
        <f>Plant_Information!$B$6</f>
        <v>(INSERT VENDOR NAME HERE)</v>
      </c>
      <c r="R505" s="100" t="str">
        <f>'HAULING RATES- ODOT Locations'!$A$104</f>
        <v>District 6</v>
      </c>
      <c r="S505" s="100" t="str">
        <f>'HAULING RATES- ODOT Locations'!A107</f>
        <v>Delaware</v>
      </c>
      <c r="T505" s="100" t="str">
        <f>'HAULING RATES- ODOT Locations'!B107</f>
        <v>Delaware Co. Gar.,1150 U.S. 42 North, Delaware, OH 43015</v>
      </c>
      <c r="U505" t="str">
        <f>'HAULING RATES- ODOT Locations'!E$8</f>
        <v>Gravel</v>
      </c>
      <c r="V505" s="146">
        <f>'HAULING RATES- ODOT Locations'!E107</f>
        <v>0</v>
      </c>
      <c r="W505" s="131" t="str">
        <f>+'Aggregate, Plant Pick-up'!$C$6</f>
        <v>LAFARGE-MARBLEHEAD "OSBORNE-CLEVELAND"</v>
      </c>
      <c r="X505" s="131" t="str">
        <f>+Plant_Information!$B$10</f>
        <v>04105-28</v>
      </c>
      <c r="Y505" s="131" t="str">
        <f>+Plant_Information!$B$11</f>
        <v>2100 CENTRAL FURNACE ROAD</v>
      </c>
      <c r="Z505" s="131" t="str">
        <f>+Plant_Information!$B$12</f>
        <v>CLEVELAND, OH, 44115</v>
      </c>
      <c r="AA505" s="131" t="str">
        <f>+Plant_Information!$B$13</f>
        <v>12</v>
      </c>
      <c r="AB505" s="131" t="str">
        <f>+Plant_Information!$B$14</f>
        <v>CUY</v>
      </c>
      <c r="AC505" s="70"/>
    </row>
    <row r="506" spans="17:29" x14ac:dyDescent="0.2">
      <c r="Q506" s="100" t="str">
        <f>Plant_Information!$B$6</f>
        <v>(INSERT VENDOR NAME HERE)</v>
      </c>
      <c r="R506" s="100" t="str">
        <f>'HAULING RATES- ODOT Locations'!$A$104</f>
        <v>District 6</v>
      </c>
      <c r="S506" s="100" t="str">
        <f>'HAULING RATES- ODOT Locations'!A108</f>
        <v>Delaware</v>
      </c>
      <c r="T506" s="100" t="str">
        <f>'HAULING RATES- ODOT Locations'!B108</f>
        <v>Berkshire OP, 7016 E State Route 37, Sunbury, Oh  43074</v>
      </c>
      <c r="U506" t="str">
        <f>'HAULING RATES- ODOT Locations'!E$8</f>
        <v>Gravel</v>
      </c>
      <c r="V506" s="146">
        <f>'HAULING RATES- ODOT Locations'!E108</f>
        <v>0</v>
      </c>
      <c r="W506" s="131" t="str">
        <f>+'Aggregate, Plant Pick-up'!$C$6</f>
        <v>LAFARGE-MARBLEHEAD "OSBORNE-CLEVELAND"</v>
      </c>
      <c r="X506" s="131" t="str">
        <f>+Plant_Information!$B$10</f>
        <v>04105-28</v>
      </c>
      <c r="Y506" s="131" t="str">
        <f>+Plant_Information!$B$11</f>
        <v>2100 CENTRAL FURNACE ROAD</v>
      </c>
      <c r="Z506" s="131" t="str">
        <f>+Plant_Information!$B$12</f>
        <v>CLEVELAND, OH, 44115</v>
      </c>
      <c r="AA506" s="131" t="str">
        <f>+Plant_Information!$B$13</f>
        <v>12</v>
      </c>
      <c r="AB506" s="131" t="str">
        <f>+Plant_Information!$B$14</f>
        <v>CUY</v>
      </c>
      <c r="AC506" s="70"/>
    </row>
    <row r="507" spans="17:29" x14ac:dyDescent="0.2">
      <c r="Q507" s="100" t="str">
        <f>Plant_Information!$B$6</f>
        <v>(INSERT VENDOR NAME HERE)</v>
      </c>
      <c r="R507" s="100" t="str">
        <f>'HAULING RATES- ODOT Locations'!$A$104</f>
        <v>District 6</v>
      </c>
      <c r="S507" s="100" t="str">
        <f>'HAULING RATES- ODOT Locations'!A109</f>
        <v>Delaware</v>
      </c>
      <c r="T507" s="100" t="str">
        <f>'HAULING RATES- ODOT Locations'!B109</f>
        <v>Sunbury OP, Morning St., Sunbury</v>
      </c>
      <c r="U507" t="str">
        <f>'HAULING RATES- ODOT Locations'!E$8</f>
        <v>Gravel</v>
      </c>
      <c r="V507" s="146">
        <f>'HAULING RATES- ODOT Locations'!E109</f>
        <v>0</v>
      </c>
      <c r="W507" s="131" t="str">
        <f>+'Aggregate, Plant Pick-up'!$C$6</f>
        <v>LAFARGE-MARBLEHEAD "OSBORNE-CLEVELAND"</v>
      </c>
      <c r="X507" s="131" t="str">
        <f>+Plant_Information!$B$10</f>
        <v>04105-28</v>
      </c>
      <c r="Y507" s="131" t="str">
        <f>+Plant_Information!$B$11</f>
        <v>2100 CENTRAL FURNACE ROAD</v>
      </c>
      <c r="Z507" s="131" t="str">
        <f>+Plant_Information!$B$12</f>
        <v>CLEVELAND, OH, 44115</v>
      </c>
      <c r="AA507" s="131" t="str">
        <f>+Plant_Information!$B$13</f>
        <v>12</v>
      </c>
      <c r="AB507" s="131" t="str">
        <f>+Plant_Information!$B$14</f>
        <v>CUY</v>
      </c>
      <c r="AC507" s="70"/>
    </row>
    <row r="508" spans="17:29" x14ac:dyDescent="0.2">
      <c r="Q508" s="100" t="str">
        <f>Plant_Information!$B$6</f>
        <v>(INSERT VENDOR NAME HERE)</v>
      </c>
      <c r="R508" s="100" t="str">
        <f>'HAULING RATES- ODOT Locations'!$A$104</f>
        <v>District 6</v>
      </c>
      <c r="S508" s="100" t="str">
        <f>'HAULING RATES- ODOT Locations'!A110</f>
        <v>Fayette</v>
      </c>
      <c r="T508" s="100" t="str">
        <f>'HAULING RATES- ODOT Locations'!B110</f>
        <v>Fayette Co. Gar., 2331 US 22 SW, Washington Court House, OH 43160</v>
      </c>
      <c r="U508" t="str">
        <f>'HAULING RATES- ODOT Locations'!E$8</f>
        <v>Gravel</v>
      </c>
      <c r="V508" s="146">
        <f>'HAULING RATES- ODOT Locations'!E110</f>
        <v>0</v>
      </c>
      <c r="W508" s="131" t="str">
        <f>+'Aggregate, Plant Pick-up'!$C$6</f>
        <v>LAFARGE-MARBLEHEAD "OSBORNE-CLEVELAND"</v>
      </c>
      <c r="X508" s="131" t="str">
        <f>+Plant_Information!$B$10</f>
        <v>04105-28</v>
      </c>
      <c r="Y508" s="131" t="str">
        <f>+Plant_Information!$B$11</f>
        <v>2100 CENTRAL FURNACE ROAD</v>
      </c>
      <c r="Z508" s="131" t="str">
        <f>+Plant_Information!$B$12</f>
        <v>CLEVELAND, OH, 44115</v>
      </c>
      <c r="AA508" s="131" t="str">
        <f>+Plant_Information!$B$13</f>
        <v>12</v>
      </c>
      <c r="AB508" s="131" t="str">
        <f>+Plant_Information!$B$14</f>
        <v>CUY</v>
      </c>
      <c r="AC508" s="70"/>
    </row>
    <row r="509" spans="17:29" x14ac:dyDescent="0.2">
      <c r="Q509" s="100" t="str">
        <f>Plant_Information!$B$6</f>
        <v>(INSERT VENDOR NAME HERE)</v>
      </c>
      <c r="R509" s="100" t="str">
        <f>'HAULING RATES- ODOT Locations'!$A$104</f>
        <v>District 6</v>
      </c>
      <c r="S509" s="100" t="str">
        <f>'HAULING RATES- ODOT Locations'!A111</f>
        <v>Fayette</v>
      </c>
      <c r="T509" s="100" t="str">
        <f>'HAULING RATES- ODOT Locations'!B111</f>
        <v>Jeffersonville OP, 11859 OH-435, Jeffersonville, OH 43128</v>
      </c>
      <c r="U509" t="str">
        <f>'HAULING RATES- ODOT Locations'!E$8</f>
        <v>Gravel</v>
      </c>
      <c r="V509" s="146">
        <f>'HAULING RATES- ODOT Locations'!E111</f>
        <v>0</v>
      </c>
      <c r="W509" s="131" t="str">
        <f>+'Aggregate, Plant Pick-up'!$C$6</f>
        <v>LAFARGE-MARBLEHEAD "OSBORNE-CLEVELAND"</v>
      </c>
      <c r="X509" s="131" t="str">
        <f>+Plant_Information!$B$10</f>
        <v>04105-28</v>
      </c>
      <c r="Y509" s="131" t="str">
        <f>+Plant_Information!$B$11</f>
        <v>2100 CENTRAL FURNACE ROAD</v>
      </c>
      <c r="Z509" s="131" t="str">
        <f>+Plant_Information!$B$12</f>
        <v>CLEVELAND, OH, 44115</v>
      </c>
      <c r="AA509" s="131" t="str">
        <f>+Plant_Information!$B$13</f>
        <v>12</v>
      </c>
      <c r="AB509" s="131" t="str">
        <f>+Plant_Information!$B$14</f>
        <v>CUY</v>
      </c>
      <c r="AC509" s="70"/>
    </row>
    <row r="510" spans="17:29" x14ac:dyDescent="0.2">
      <c r="Q510" s="100" t="str">
        <f>Plant_Information!$B$6</f>
        <v>(INSERT VENDOR NAME HERE)</v>
      </c>
      <c r="R510" s="100" t="str">
        <f>'HAULING RATES- ODOT Locations'!$A$104</f>
        <v>District 6</v>
      </c>
      <c r="S510" s="100" t="str">
        <f>'HAULING RATES- ODOT Locations'!A112</f>
        <v>Franklin</v>
      </c>
      <c r="T510" s="100" t="str">
        <f>'HAULING RATES- ODOT Locations'!B112</f>
        <v>Fifth Ave. OP, 3500 E Fifth Avenue, Columbus OH 43219</v>
      </c>
      <c r="U510" t="str">
        <f>'HAULING RATES- ODOT Locations'!E$8</f>
        <v>Gravel</v>
      </c>
      <c r="V510" s="146">
        <f>'HAULING RATES- ODOT Locations'!E112</f>
        <v>0</v>
      </c>
      <c r="W510" s="131" t="str">
        <f>+'Aggregate, Plant Pick-up'!$C$6</f>
        <v>LAFARGE-MARBLEHEAD "OSBORNE-CLEVELAND"</v>
      </c>
      <c r="X510" s="131" t="str">
        <f>+Plant_Information!$B$10</f>
        <v>04105-28</v>
      </c>
      <c r="Y510" s="131" t="str">
        <f>+Plant_Information!$B$11</f>
        <v>2100 CENTRAL FURNACE ROAD</v>
      </c>
      <c r="Z510" s="131" t="str">
        <f>+Plant_Information!$B$12</f>
        <v>CLEVELAND, OH, 44115</v>
      </c>
      <c r="AA510" s="131" t="str">
        <f>+Plant_Information!$B$13</f>
        <v>12</v>
      </c>
      <c r="AB510" s="131" t="str">
        <f>+Plant_Information!$B$14</f>
        <v>CUY</v>
      </c>
      <c r="AC510" s="70"/>
    </row>
    <row r="511" spans="17:29" x14ac:dyDescent="0.2">
      <c r="Q511" s="100" t="str">
        <f>Plant_Information!$B$6</f>
        <v>(INSERT VENDOR NAME HERE)</v>
      </c>
      <c r="R511" s="100" t="str">
        <f>'HAULING RATES- ODOT Locations'!$A$104</f>
        <v>District 6</v>
      </c>
      <c r="S511" s="100" t="str">
        <f>'HAULING RATES- ODOT Locations'!A113</f>
        <v>Franklin</v>
      </c>
      <c r="T511" s="100" t="str">
        <f>'HAULING RATES- ODOT Locations'!B113</f>
        <v>Grove City OP, 6000 Haughn Road, Grove City OH 43123 (SR 665 &amp; I-71)</v>
      </c>
      <c r="U511" t="str">
        <f>'HAULING RATES- ODOT Locations'!E$8</f>
        <v>Gravel</v>
      </c>
      <c r="V511" s="146">
        <f>'HAULING RATES- ODOT Locations'!E113</f>
        <v>0</v>
      </c>
      <c r="W511" s="131" t="str">
        <f>+'Aggregate, Plant Pick-up'!$C$6</f>
        <v>LAFARGE-MARBLEHEAD "OSBORNE-CLEVELAND"</v>
      </c>
      <c r="X511" s="131" t="str">
        <f>+Plant_Information!$B$10</f>
        <v>04105-28</v>
      </c>
      <c r="Y511" s="131" t="str">
        <f>+Plant_Information!$B$11</f>
        <v>2100 CENTRAL FURNACE ROAD</v>
      </c>
      <c r="Z511" s="131" t="str">
        <f>+Plant_Information!$B$12</f>
        <v>CLEVELAND, OH, 44115</v>
      </c>
      <c r="AA511" s="131" t="str">
        <f>+Plant_Information!$B$13</f>
        <v>12</v>
      </c>
      <c r="AB511" s="131" t="str">
        <f>+Plant_Information!$B$14</f>
        <v>CUY</v>
      </c>
      <c r="AC511" s="70"/>
    </row>
    <row r="512" spans="17:29" x14ac:dyDescent="0.2">
      <c r="Q512" s="100" t="str">
        <f>Plant_Information!$B$6</f>
        <v>(INSERT VENDOR NAME HERE)</v>
      </c>
      <c r="R512" s="100" t="str">
        <f>'HAULING RATES- ODOT Locations'!$A$104</f>
        <v>District 6</v>
      </c>
      <c r="S512" s="100" t="str">
        <f>'HAULING RATES- ODOT Locations'!A114</f>
        <v>Franklin</v>
      </c>
      <c r="T512" s="100" t="str">
        <f>'HAULING RATES- ODOT Locations'!B114</f>
        <v>Franklin Co. Gar.,4730 E Dublin-Granville Road, Westerville OH 43081</v>
      </c>
      <c r="U512" t="str">
        <f>'HAULING RATES- ODOT Locations'!E$8</f>
        <v>Gravel</v>
      </c>
      <c r="V512" s="146">
        <f>'HAULING RATES- ODOT Locations'!E114</f>
        <v>0</v>
      </c>
      <c r="W512" s="131" t="str">
        <f>+'Aggregate, Plant Pick-up'!$C$6</f>
        <v>LAFARGE-MARBLEHEAD "OSBORNE-CLEVELAND"</v>
      </c>
      <c r="X512" s="131" t="str">
        <f>+Plant_Information!$B$10</f>
        <v>04105-28</v>
      </c>
      <c r="Y512" s="131" t="str">
        <f>+Plant_Information!$B$11</f>
        <v>2100 CENTRAL FURNACE ROAD</v>
      </c>
      <c r="Z512" s="131" t="str">
        <f>+Plant_Information!$B$12</f>
        <v>CLEVELAND, OH, 44115</v>
      </c>
      <c r="AA512" s="131" t="str">
        <f>+Plant_Information!$B$13</f>
        <v>12</v>
      </c>
      <c r="AB512" s="131" t="str">
        <f>+Plant_Information!$B$14</f>
        <v>CUY</v>
      </c>
      <c r="AC512" s="70"/>
    </row>
    <row r="513" spans="17:29" x14ac:dyDescent="0.2">
      <c r="Q513" s="100" t="str">
        <f>Plant_Information!$B$6</f>
        <v>(INSERT VENDOR NAME HERE)</v>
      </c>
      <c r="R513" s="100" t="str">
        <f>'HAULING RATES- ODOT Locations'!$A$104</f>
        <v>District 6</v>
      </c>
      <c r="S513" s="100" t="str">
        <f>'HAULING RATES- ODOT Locations'!A115</f>
        <v>Franklin</v>
      </c>
      <c r="T513" s="100" t="str">
        <f>'HAULING RATES- ODOT Locations'!B115</f>
        <v>Hilliard OP, 4400 Currency Drive, Columbus OH 43288</v>
      </c>
      <c r="U513" t="str">
        <f>'HAULING RATES- ODOT Locations'!E$8</f>
        <v>Gravel</v>
      </c>
      <c r="V513" s="146">
        <f>'HAULING RATES- ODOT Locations'!E115</f>
        <v>0</v>
      </c>
      <c r="W513" s="131" t="str">
        <f>+'Aggregate, Plant Pick-up'!$C$6</f>
        <v>LAFARGE-MARBLEHEAD "OSBORNE-CLEVELAND"</v>
      </c>
      <c r="X513" s="131" t="str">
        <f>+Plant_Information!$B$10</f>
        <v>04105-28</v>
      </c>
      <c r="Y513" s="131" t="str">
        <f>+Plant_Information!$B$11</f>
        <v>2100 CENTRAL FURNACE ROAD</v>
      </c>
      <c r="Z513" s="131" t="str">
        <f>+Plant_Information!$B$12</f>
        <v>CLEVELAND, OH, 44115</v>
      </c>
      <c r="AA513" s="131" t="str">
        <f>+Plant_Information!$B$13</f>
        <v>12</v>
      </c>
      <c r="AB513" s="131" t="str">
        <f>+Plant_Information!$B$14</f>
        <v>CUY</v>
      </c>
      <c r="AC513" s="70"/>
    </row>
    <row r="514" spans="17:29" x14ac:dyDescent="0.2">
      <c r="Q514" s="100" t="str">
        <f>Plant_Information!$B$6</f>
        <v>(INSERT VENDOR NAME HERE)</v>
      </c>
      <c r="R514" s="100" t="str">
        <f>'HAULING RATES- ODOT Locations'!$A$104</f>
        <v>District 6</v>
      </c>
      <c r="S514" s="100" t="str">
        <f>'HAULING RATES- ODOT Locations'!A116</f>
        <v>Madison</v>
      </c>
      <c r="T514" s="100" t="str">
        <f>'HAULING RATES- ODOT Locations'!B116</f>
        <v>6640 State Route 29, West Jefferson, OH  43162</v>
      </c>
      <c r="U514" t="str">
        <f>'HAULING RATES- ODOT Locations'!E$8</f>
        <v>Gravel</v>
      </c>
      <c r="V514" s="146">
        <f>'HAULING RATES- ODOT Locations'!E116</f>
        <v>0</v>
      </c>
      <c r="W514" s="131" t="str">
        <f>+'Aggregate, Plant Pick-up'!$C$6</f>
        <v>LAFARGE-MARBLEHEAD "OSBORNE-CLEVELAND"</v>
      </c>
      <c r="X514" s="131" t="str">
        <f>+Plant_Information!$B$10</f>
        <v>04105-28</v>
      </c>
      <c r="Y514" s="131" t="str">
        <f>+Plant_Information!$B$11</f>
        <v>2100 CENTRAL FURNACE ROAD</v>
      </c>
      <c r="Z514" s="131" t="str">
        <f>+Plant_Information!$B$12</f>
        <v>CLEVELAND, OH, 44115</v>
      </c>
      <c r="AA514" s="131" t="str">
        <f>+Plant_Information!$B$13</f>
        <v>12</v>
      </c>
      <c r="AB514" s="131" t="str">
        <f>+Plant_Information!$B$14</f>
        <v>CUY</v>
      </c>
      <c r="AC514" s="70"/>
    </row>
    <row r="515" spans="17:29" x14ac:dyDescent="0.2">
      <c r="Q515" s="100" t="str">
        <f>Plant_Information!$B$6</f>
        <v>(INSERT VENDOR NAME HERE)</v>
      </c>
      <c r="R515" s="100" t="str">
        <f>'HAULING RATES- ODOT Locations'!$A$104</f>
        <v>District 6</v>
      </c>
      <c r="S515" s="100" t="str">
        <f>'HAULING RATES- ODOT Locations'!A117</f>
        <v>Madison</v>
      </c>
      <c r="T515" s="100" t="str">
        <f>'HAULING RATES- ODOT Locations'!B117</f>
        <v>15664 US 62, Mount Sterling, OH 43143</v>
      </c>
      <c r="U515" t="str">
        <f>'HAULING RATES- ODOT Locations'!E$8</f>
        <v>Gravel</v>
      </c>
      <c r="V515" s="146">
        <f>'HAULING RATES- ODOT Locations'!E117</f>
        <v>0</v>
      </c>
      <c r="W515" s="131" t="str">
        <f>+'Aggregate, Plant Pick-up'!$C$6</f>
        <v>LAFARGE-MARBLEHEAD "OSBORNE-CLEVELAND"</v>
      </c>
      <c r="X515" s="131" t="str">
        <f>+Plant_Information!$B$10</f>
        <v>04105-28</v>
      </c>
      <c r="Y515" s="131" t="str">
        <f>+Plant_Information!$B$11</f>
        <v>2100 CENTRAL FURNACE ROAD</v>
      </c>
      <c r="Z515" s="131" t="str">
        <f>+Plant_Information!$B$12</f>
        <v>CLEVELAND, OH, 44115</v>
      </c>
      <c r="AA515" s="131" t="str">
        <f>+Plant_Information!$B$13</f>
        <v>12</v>
      </c>
      <c r="AB515" s="131" t="str">
        <f>+Plant_Information!$B$14</f>
        <v>CUY</v>
      </c>
      <c r="AC515" s="70"/>
    </row>
    <row r="516" spans="17:29" x14ac:dyDescent="0.2">
      <c r="Q516" s="100" t="str">
        <f>Plant_Information!$B$6</f>
        <v>(INSERT VENDOR NAME HERE)</v>
      </c>
      <c r="R516" s="100" t="str">
        <f>'HAULING RATES- ODOT Locations'!$A$104</f>
        <v>District 6</v>
      </c>
      <c r="S516" s="100" t="str">
        <f>'HAULING RATES- ODOT Locations'!A118</f>
        <v>Marion</v>
      </c>
      <c r="T516" s="100" t="str">
        <f>'HAULING RATES- ODOT Locations'!B118</f>
        <v>Marion Co. Gar., 1775 Marion-Williamsport Road E., Marion, OH 43302</v>
      </c>
      <c r="U516" t="str">
        <f>'HAULING RATES- ODOT Locations'!E$8</f>
        <v>Gravel</v>
      </c>
      <c r="V516" s="146">
        <f>'HAULING RATES- ODOT Locations'!E118</f>
        <v>0</v>
      </c>
      <c r="W516" s="131" t="str">
        <f>+'Aggregate, Plant Pick-up'!$C$6</f>
        <v>LAFARGE-MARBLEHEAD "OSBORNE-CLEVELAND"</v>
      </c>
      <c r="X516" s="131" t="str">
        <f>+Plant_Information!$B$10</f>
        <v>04105-28</v>
      </c>
      <c r="Y516" s="131" t="str">
        <f>+Plant_Information!$B$11</f>
        <v>2100 CENTRAL FURNACE ROAD</v>
      </c>
      <c r="Z516" s="131" t="str">
        <f>+Plant_Information!$B$12</f>
        <v>CLEVELAND, OH, 44115</v>
      </c>
      <c r="AA516" s="131" t="str">
        <f>+Plant_Information!$B$13</f>
        <v>12</v>
      </c>
      <c r="AB516" s="131" t="str">
        <f>+Plant_Information!$B$14</f>
        <v>CUY</v>
      </c>
      <c r="AC516" s="70"/>
    </row>
    <row r="517" spans="17:29" x14ac:dyDescent="0.2">
      <c r="Q517" s="100" t="str">
        <f>Plant_Information!$B$6</f>
        <v>(INSERT VENDOR NAME HERE)</v>
      </c>
      <c r="R517" s="100" t="str">
        <f>'HAULING RATES- ODOT Locations'!$A$104</f>
        <v>District 6</v>
      </c>
      <c r="S517" s="100" t="str">
        <f>'HAULING RATES- ODOT Locations'!A119</f>
        <v>Morrow</v>
      </c>
      <c r="T517" s="100" t="str">
        <f>'HAULING RATES- ODOT Locations'!B119</f>
        <v>Chesterville OP, 3988 Co Rd 172, Mount Gilead, OH 43338</v>
      </c>
      <c r="U517" t="str">
        <f>'HAULING RATES- ODOT Locations'!E$8</f>
        <v>Gravel</v>
      </c>
      <c r="V517" s="146">
        <f>'HAULING RATES- ODOT Locations'!E119</f>
        <v>0</v>
      </c>
      <c r="W517" s="131" t="str">
        <f>+'Aggregate, Plant Pick-up'!$C$6</f>
        <v>LAFARGE-MARBLEHEAD "OSBORNE-CLEVELAND"</v>
      </c>
      <c r="X517" s="131" t="str">
        <f>+Plant_Information!$B$10</f>
        <v>04105-28</v>
      </c>
      <c r="Y517" s="131" t="str">
        <f>+Plant_Information!$B$11</f>
        <v>2100 CENTRAL FURNACE ROAD</v>
      </c>
      <c r="Z517" s="131" t="str">
        <f>+Plant_Information!$B$12</f>
        <v>CLEVELAND, OH, 44115</v>
      </c>
      <c r="AA517" s="131" t="str">
        <f>+Plant_Information!$B$13</f>
        <v>12</v>
      </c>
      <c r="AB517" s="131" t="str">
        <f>+Plant_Information!$B$14</f>
        <v>CUY</v>
      </c>
      <c r="AC517" s="70"/>
    </row>
    <row r="518" spans="17:29" x14ac:dyDescent="0.2">
      <c r="Q518" s="100" t="str">
        <f>Plant_Information!$B$6</f>
        <v>(INSERT VENDOR NAME HERE)</v>
      </c>
      <c r="R518" s="100" t="str">
        <f>'HAULING RATES- ODOT Locations'!$A$104</f>
        <v>District 6</v>
      </c>
      <c r="S518" s="100" t="str">
        <f>'HAULING RATES- ODOT Locations'!A120</f>
        <v>Morrow</v>
      </c>
      <c r="T518" s="100" t="str">
        <f>'HAULING RATES- ODOT Locations'!B120</f>
        <v>Morrow Co. Gar., 710 E. Union St, Mt. Gilead, OH 43338</v>
      </c>
      <c r="U518" t="str">
        <f>'HAULING RATES- ODOT Locations'!E$8</f>
        <v>Gravel</v>
      </c>
      <c r="V518" s="146">
        <f>'HAULING RATES- ODOT Locations'!E120</f>
        <v>0</v>
      </c>
      <c r="W518" s="131" t="str">
        <f>+'Aggregate, Plant Pick-up'!$C$6</f>
        <v>LAFARGE-MARBLEHEAD "OSBORNE-CLEVELAND"</v>
      </c>
      <c r="X518" s="131" t="str">
        <f>+Plant_Information!$B$10</f>
        <v>04105-28</v>
      </c>
      <c r="Y518" s="131" t="str">
        <f>+Plant_Information!$B$11</f>
        <v>2100 CENTRAL FURNACE ROAD</v>
      </c>
      <c r="Z518" s="131" t="str">
        <f>+Plant_Information!$B$12</f>
        <v>CLEVELAND, OH, 44115</v>
      </c>
      <c r="AA518" s="131" t="str">
        <f>+Plant_Information!$B$13</f>
        <v>12</v>
      </c>
      <c r="AB518" s="131" t="str">
        <f>+Plant_Information!$B$14</f>
        <v>CUY</v>
      </c>
      <c r="AC518" s="70"/>
    </row>
    <row r="519" spans="17:29" x14ac:dyDescent="0.2">
      <c r="Q519" s="100" t="str">
        <f>Plant_Information!$B$6</f>
        <v>(INSERT VENDOR NAME HERE)</v>
      </c>
      <c r="R519" s="100" t="str">
        <f>'HAULING RATES- ODOT Locations'!$A$104</f>
        <v>District 6</v>
      </c>
      <c r="S519" s="100" t="str">
        <f>'HAULING RATES- ODOT Locations'!A121</f>
        <v>Pickaway</v>
      </c>
      <c r="T519" s="100" t="str">
        <f>'HAULING RATES- ODOT Locations'!B121</f>
        <v>Pickaway Co. Gar., 150 Highland Avenue, Circleville, OH 43113</v>
      </c>
      <c r="U519" t="str">
        <f>'HAULING RATES- ODOT Locations'!E$8</f>
        <v>Gravel</v>
      </c>
      <c r="V519" s="146">
        <f>'HAULING RATES- ODOT Locations'!E121</f>
        <v>0</v>
      </c>
      <c r="W519" s="131" t="str">
        <f>+'Aggregate, Plant Pick-up'!$C$6</f>
        <v>LAFARGE-MARBLEHEAD "OSBORNE-CLEVELAND"</v>
      </c>
      <c r="X519" s="131" t="str">
        <f>+Plant_Information!$B$10</f>
        <v>04105-28</v>
      </c>
      <c r="Y519" s="131" t="str">
        <f>+Plant_Information!$B$11</f>
        <v>2100 CENTRAL FURNACE ROAD</v>
      </c>
      <c r="Z519" s="131" t="str">
        <f>+Plant_Information!$B$12</f>
        <v>CLEVELAND, OH, 44115</v>
      </c>
      <c r="AA519" s="131" t="str">
        <f>+Plant_Information!$B$13</f>
        <v>12</v>
      </c>
      <c r="AB519" s="131" t="str">
        <f>+Plant_Information!$B$14</f>
        <v>CUY</v>
      </c>
      <c r="AC519" s="70"/>
    </row>
    <row r="520" spans="17:29" x14ac:dyDescent="0.2">
      <c r="Q520" s="100" t="str">
        <f>Plant_Information!$B$6</f>
        <v>(INSERT VENDOR NAME HERE)</v>
      </c>
      <c r="R520" s="100" t="str">
        <f>'HAULING RATES- ODOT Locations'!$A$104</f>
        <v>District 6</v>
      </c>
      <c r="S520" s="100" t="str">
        <f>'HAULING RATES- ODOT Locations'!A122</f>
        <v>Union</v>
      </c>
      <c r="T520" s="100" t="str">
        <f>'HAULING RATES- ODOT Locations'!B122</f>
        <v>Union Co. Gar., 1717 Collins Ave Marysville, OH  43040</v>
      </c>
      <c r="U520" t="str">
        <f>'HAULING RATES- ODOT Locations'!E$8</f>
        <v>Gravel</v>
      </c>
      <c r="V520" s="146">
        <f>'HAULING RATES- ODOT Locations'!E122</f>
        <v>0</v>
      </c>
      <c r="W520" s="131" t="str">
        <f>+'Aggregate, Plant Pick-up'!$C$6</f>
        <v>LAFARGE-MARBLEHEAD "OSBORNE-CLEVELAND"</v>
      </c>
      <c r="X520" s="131" t="str">
        <f>+Plant_Information!$B$10</f>
        <v>04105-28</v>
      </c>
      <c r="Y520" s="131" t="str">
        <f>+Plant_Information!$B$11</f>
        <v>2100 CENTRAL FURNACE ROAD</v>
      </c>
      <c r="Z520" s="131" t="str">
        <f>+Plant_Information!$B$12</f>
        <v>CLEVELAND, OH, 44115</v>
      </c>
      <c r="AA520" s="131" t="str">
        <f>+Plant_Information!$B$13</f>
        <v>12</v>
      </c>
      <c r="AB520" s="131" t="str">
        <f>+Plant_Information!$B$14</f>
        <v>CUY</v>
      </c>
      <c r="AC520" s="70"/>
    </row>
    <row r="521" spans="17:29" x14ac:dyDescent="0.2">
      <c r="Q521" s="100" t="str">
        <f>Plant_Information!$B$6</f>
        <v>(INSERT VENDOR NAME HERE)</v>
      </c>
      <c r="R521" s="100" t="str">
        <f>'HAULING RATES- ODOT Locations'!$A$104</f>
        <v>District 6</v>
      </c>
      <c r="S521" s="100" t="str">
        <f>'HAULING RATES- ODOT Locations'!A123</f>
        <v>Union</v>
      </c>
      <c r="T521" s="100" t="str">
        <f>'HAULING RATES- ODOT Locations'!B123</f>
        <v>Richwood OP, 11304 SR 47, Richwood, OH 43344</v>
      </c>
      <c r="U521" t="str">
        <f>'HAULING RATES- ODOT Locations'!E$8</f>
        <v>Gravel</v>
      </c>
      <c r="V521" s="146">
        <f>'HAULING RATES- ODOT Locations'!E123</f>
        <v>0</v>
      </c>
      <c r="W521" s="131" t="str">
        <f>+'Aggregate, Plant Pick-up'!$C$6</f>
        <v>LAFARGE-MARBLEHEAD "OSBORNE-CLEVELAND"</v>
      </c>
      <c r="X521" s="131" t="str">
        <f>+Plant_Information!$B$10</f>
        <v>04105-28</v>
      </c>
      <c r="Y521" s="131" t="str">
        <f>+Plant_Information!$B$11</f>
        <v>2100 CENTRAL FURNACE ROAD</v>
      </c>
      <c r="Z521" s="131" t="str">
        <f>+Plant_Information!$B$12</f>
        <v>CLEVELAND, OH, 44115</v>
      </c>
      <c r="AA521" s="131" t="str">
        <f>+Plant_Information!$B$13</f>
        <v>12</v>
      </c>
      <c r="AB521" s="131" t="str">
        <f>+Plant_Information!$B$14</f>
        <v>CUY</v>
      </c>
      <c r="AC521" s="70"/>
    </row>
    <row r="522" spans="17:29" x14ac:dyDescent="0.2">
      <c r="Q522" s="100" t="str">
        <f>Plant_Information!$B$6</f>
        <v>(INSERT VENDOR NAME HERE)</v>
      </c>
      <c r="R522" s="100" t="str">
        <f>'HAULING RATES- ODOT Locations'!$A$124</f>
        <v>District 7</v>
      </c>
      <c r="S522" s="100" t="str">
        <f>'HAULING RATES- ODOT Locations'!A127</f>
        <v>Auglaize</v>
      </c>
      <c r="T522" s="100" t="str">
        <f>'HAULING RATES- ODOT Locations'!B127</f>
        <v>511 Commerce Dr., Wapakoneta, OH 45895</v>
      </c>
      <c r="U522" t="str">
        <f>'HAULING RATES- ODOT Locations'!E$8</f>
        <v>Gravel</v>
      </c>
      <c r="V522" s="146">
        <f>'HAULING RATES- ODOT Locations'!E127</f>
        <v>0</v>
      </c>
      <c r="W522" s="131" t="str">
        <f>+'Aggregate, Plant Pick-up'!$C$6</f>
        <v>LAFARGE-MARBLEHEAD "OSBORNE-CLEVELAND"</v>
      </c>
      <c r="X522" s="131" t="str">
        <f>+Plant_Information!$B$10</f>
        <v>04105-28</v>
      </c>
      <c r="Y522" s="131" t="str">
        <f>+Plant_Information!$B$11</f>
        <v>2100 CENTRAL FURNACE ROAD</v>
      </c>
      <c r="Z522" s="131" t="str">
        <f>+Plant_Information!$B$12</f>
        <v>CLEVELAND, OH, 44115</v>
      </c>
      <c r="AA522" s="131" t="str">
        <f>+Plant_Information!$B$13</f>
        <v>12</v>
      </c>
      <c r="AB522" s="131" t="str">
        <f>+Plant_Information!$B$14</f>
        <v>CUY</v>
      </c>
      <c r="AC522" s="70"/>
    </row>
    <row r="523" spans="17:29" x14ac:dyDescent="0.2">
      <c r="Q523" s="100" t="str">
        <f>Plant_Information!$B$6</f>
        <v>(INSERT VENDOR NAME HERE)</v>
      </c>
      <c r="R523" s="100" t="str">
        <f>'HAULING RATES- ODOT Locations'!$A$124</f>
        <v>District 7</v>
      </c>
      <c r="S523" s="100" t="str">
        <f>'HAULING RATES- ODOT Locations'!A128</f>
        <v>Auglaize</v>
      </c>
      <c r="T523" s="100" t="str">
        <f>'HAULING RATES- ODOT Locations'!B128</f>
        <v>802 Armstrong Street, Saint Marys, OH 45885</v>
      </c>
      <c r="U523" t="str">
        <f>'HAULING RATES- ODOT Locations'!E$8</f>
        <v>Gravel</v>
      </c>
      <c r="V523" s="146">
        <f>'HAULING RATES- ODOT Locations'!E128</f>
        <v>0</v>
      </c>
      <c r="W523" s="131" t="str">
        <f>+'Aggregate, Plant Pick-up'!$C$6</f>
        <v>LAFARGE-MARBLEHEAD "OSBORNE-CLEVELAND"</v>
      </c>
      <c r="X523" s="131" t="str">
        <f>+Plant_Information!$B$10</f>
        <v>04105-28</v>
      </c>
      <c r="Y523" s="131" t="str">
        <f>+Plant_Information!$B$11</f>
        <v>2100 CENTRAL FURNACE ROAD</v>
      </c>
      <c r="Z523" s="131" t="str">
        <f>+Plant_Information!$B$12</f>
        <v>CLEVELAND, OH, 44115</v>
      </c>
      <c r="AA523" s="131" t="str">
        <f>+Plant_Information!$B$13</f>
        <v>12</v>
      </c>
      <c r="AB523" s="131" t="str">
        <f>+Plant_Information!$B$14</f>
        <v>CUY</v>
      </c>
      <c r="AC523" s="70"/>
    </row>
    <row r="524" spans="17:29" x14ac:dyDescent="0.2">
      <c r="Q524" s="100" t="str">
        <f>Plant_Information!$B$6</f>
        <v>(INSERT VENDOR NAME HERE)</v>
      </c>
      <c r="R524" s="100" t="str">
        <f>'HAULING RATES- ODOT Locations'!$A$124</f>
        <v>District 7</v>
      </c>
      <c r="S524" s="100" t="str">
        <f>'HAULING RATES- ODOT Locations'!A129</f>
        <v>Champaign</v>
      </c>
      <c r="T524" s="100" t="str">
        <f>'HAULING RATES- ODOT Locations'!B129</f>
        <v>2030 N. State Route 235, St. Paris, OH 43084</v>
      </c>
      <c r="U524" t="str">
        <f>'HAULING RATES- ODOT Locations'!E$8</f>
        <v>Gravel</v>
      </c>
      <c r="V524" s="146">
        <f>'HAULING RATES- ODOT Locations'!E129</f>
        <v>0</v>
      </c>
      <c r="W524" s="131" t="str">
        <f>+'Aggregate, Plant Pick-up'!$C$6</f>
        <v>LAFARGE-MARBLEHEAD "OSBORNE-CLEVELAND"</v>
      </c>
      <c r="X524" s="131" t="str">
        <f>+Plant_Information!$B$10</f>
        <v>04105-28</v>
      </c>
      <c r="Y524" s="131" t="str">
        <f>+Plant_Information!$B$11</f>
        <v>2100 CENTRAL FURNACE ROAD</v>
      </c>
      <c r="Z524" s="131" t="str">
        <f>+Plant_Information!$B$12</f>
        <v>CLEVELAND, OH, 44115</v>
      </c>
      <c r="AA524" s="131" t="str">
        <f>+Plant_Information!$B$13</f>
        <v>12</v>
      </c>
      <c r="AB524" s="131" t="str">
        <f>+Plant_Information!$B$14</f>
        <v>CUY</v>
      </c>
      <c r="AC524" s="70"/>
    </row>
    <row r="525" spans="17:29" x14ac:dyDescent="0.2">
      <c r="Q525" s="100" t="str">
        <f>Plant_Information!$B$6</f>
        <v>(INSERT VENDOR NAME HERE)</v>
      </c>
      <c r="R525" s="100" t="str">
        <f>'HAULING RATES- ODOT Locations'!$A$124</f>
        <v>District 7</v>
      </c>
      <c r="S525" s="100" t="str">
        <f>'HAULING RATES- ODOT Locations'!A130</f>
        <v>Champaign</v>
      </c>
      <c r="T525" s="100" t="str">
        <f>'HAULING RATES- ODOT Locations'!B130</f>
        <v>217 S. Edgewood Ave., Urbana, OH 43078</v>
      </c>
      <c r="U525" t="str">
        <f>'HAULING RATES- ODOT Locations'!E$8</f>
        <v>Gravel</v>
      </c>
      <c r="V525" s="146">
        <f>'HAULING RATES- ODOT Locations'!E130</f>
        <v>0</v>
      </c>
      <c r="W525" s="131" t="str">
        <f>+'Aggregate, Plant Pick-up'!$C$6</f>
        <v>LAFARGE-MARBLEHEAD "OSBORNE-CLEVELAND"</v>
      </c>
      <c r="X525" s="131" t="str">
        <f>+Plant_Information!$B$10</f>
        <v>04105-28</v>
      </c>
      <c r="Y525" s="131" t="str">
        <f>+Plant_Information!$B$11</f>
        <v>2100 CENTRAL FURNACE ROAD</v>
      </c>
      <c r="Z525" s="131" t="str">
        <f>+Plant_Information!$B$12</f>
        <v>CLEVELAND, OH, 44115</v>
      </c>
      <c r="AA525" s="131" t="str">
        <f>+Plant_Information!$B$13</f>
        <v>12</v>
      </c>
      <c r="AB525" s="131" t="str">
        <f>+Plant_Information!$B$14</f>
        <v>CUY</v>
      </c>
      <c r="AC525" s="70"/>
    </row>
    <row r="526" spans="17:29" x14ac:dyDescent="0.2">
      <c r="Q526" s="100" t="str">
        <f>Plant_Information!$B$6</f>
        <v>(INSERT VENDOR NAME HERE)</v>
      </c>
      <c r="R526" s="100" t="str">
        <f>'HAULING RATES- ODOT Locations'!$A$124</f>
        <v>District 7</v>
      </c>
      <c r="S526" s="100" t="str">
        <f>'HAULING RATES- ODOT Locations'!A131</f>
        <v>Champaign</v>
      </c>
      <c r="T526" s="100" t="str">
        <f>'HAULING RATES- ODOT Locations'!B131</f>
        <v>Mechanicsburg OP,1544 State Route 559, Woodstock, OH 43084</v>
      </c>
      <c r="U526" t="str">
        <f>'HAULING RATES- ODOT Locations'!E$8</f>
        <v>Gravel</v>
      </c>
      <c r="V526" s="146">
        <f>'HAULING RATES- ODOT Locations'!E131</f>
        <v>0</v>
      </c>
      <c r="W526" s="131" t="str">
        <f>+'Aggregate, Plant Pick-up'!$C$6</f>
        <v>LAFARGE-MARBLEHEAD "OSBORNE-CLEVELAND"</v>
      </c>
      <c r="X526" s="131" t="str">
        <f>+Plant_Information!$B$10</f>
        <v>04105-28</v>
      </c>
      <c r="Y526" s="131" t="str">
        <f>+Plant_Information!$B$11</f>
        <v>2100 CENTRAL FURNACE ROAD</v>
      </c>
      <c r="Z526" s="131" t="str">
        <f>+Plant_Information!$B$12</f>
        <v>CLEVELAND, OH, 44115</v>
      </c>
      <c r="AA526" s="131" t="str">
        <f>+Plant_Information!$B$13</f>
        <v>12</v>
      </c>
      <c r="AB526" s="131" t="str">
        <f>+Plant_Information!$B$14</f>
        <v>CUY</v>
      </c>
      <c r="AC526" s="70"/>
    </row>
    <row r="527" spans="17:29" x14ac:dyDescent="0.2">
      <c r="Q527" s="100" t="str">
        <f>Plant_Information!$B$6</f>
        <v>(INSERT VENDOR NAME HERE)</v>
      </c>
      <c r="R527" s="100" t="str">
        <f>'HAULING RATES- ODOT Locations'!$A$124</f>
        <v>District 7</v>
      </c>
      <c r="S527" s="100" t="str">
        <f>'HAULING RATES- ODOT Locations'!A132</f>
        <v>Clark</v>
      </c>
      <c r="T527" s="100" t="str">
        <f>'HAULING RATES- ODOT Locations'!B132</f>
        <v>2310 Enon Road, Enon, OH 45323</v>
      </c>
      <c r="U527" t="str">
        <f>'HAULING RATES- ODOT Locations'!E$8</f>
        <v>Gravel</v>
      </c>
      <c r="V527" s="146">
        <f>'HAULING RATES- ODOT Locations'!E132</f>
        <v>0</v>
      </c>
      <c r="W527" s="131" t="str">
        <f>+'Aggregate, Plant Pick-up'!$C$6</f>
        <v>LAFARGE-MARBLEHEAD "OSBORNE-CLEVELAND"</v>
      </c>
      <c r="X527" s="131" t="str">
        <f>+Plant_Information!$B$10</f>
        <v>04105-28</v>
      </c>
      <c r="Y527" s="131" t="str">
        <f>+Plant_Information!$B$11</f>
        <v>2100 CENTRAL FURNACE ROAD</v>
      </c>
      <c r="Z527" s="131" t="str">
        <f>+Plant_Information!$B$12</f>
        <v>CLEVELAND, OH, 44115</v>
      </c>
      <c r="AA527" s="131" t="str">
        <f>+Plant_Information!$B$13</f>
        <v>12</v>
      </c>
      <c r="AB527" s="131" t="str">
        <f>+Plant_Information!$B$14</f>
        <v>CUY</v>
      </c>
      <c r="AC527" s="70"/>
    </row>
    <row r="528" spans="17:29" x14ac:dyDescent="0.2">
      <c r="Q528" s="100" t="str">
        <f>Plant_Information!$B$6</f>
        <v>(INSERT VENDOR NAME HERE)</v>
      </c>
      <c r="R528" s="100" t="str">
        <f>'HAULING RATES- ODOT Locations'!$A$124</f>
        <v>District 7</v>
      </c>
      <c r="S528" s="100" t="str">
        <f>'HAULING RATES- ODOT Locations'!A133</f>
        <v>Clark</v>
      </c>
      <c r="T528" s="100" t="str">
        <f>'HAULING RATES- ODOT Locations'!B133</f>
        <v>7875 E. National Rd. South Charleston, OH 45368</v>
      </c>
      <c r="U528" t="str">
        <f>'HAULING RATES- ODOT Locations'!E$8</f>
        <v>Gravel</v>
      </c>
      <c r="V528" s="146">
        <f>'HAULING RATES- ODOT Locations'!E133</f>
        <v>0</v>
      </c>
      <c r="W528" s="131" t="str">
        <f>+'Aggregate, Plant Pick-up'!$C$6</f>
        <v>LAFARGE-MARBLEHEAD "OSBORNE-CLEVELAND"</v>
      </c>
      <c r="X528" s="131" t="str">
        <f>+Plant_Information!$B$10</f>
        <v>04105-28</v>
      </c>
      <c r="Y528" s="131" t="str">
        <f>+Plant_Information!$B$11</f>
        <v>2100 CENTRAL FURNACE ROAD</v>
      </c>
      <c r="Z528" s="131" t="str">
        <f>+Plant_Information!$B$12</f>
        <v>CLEVELAND, OH, 44115</v>
      </c>
      <c r="AA528" s="131" t="str">
        <f>+Plant_Information!$B$13</f>
        <v>12</v>
      </c>
      <c r="AB528" s="131" t="str">
        <f>+Plant_Information!$B$14</f>
        <v>CUY</v>
      </c>
      <c r="AC528" s="70"/>
    </row>
    <row r="529" spans="17:29" x14ac:dyDescent="0.2">
      <c r="Q529" s="100" t="str">
        <f>Plant_Information!$B$6</f>
        <v>(INSERT VENDOR NAME HERE)</v>
      </c>
      <c r="R529" s="100" t="str">
        <f>'HAULING RATES- ODOT Locations'!$A$124</f>
        <v>District 7</v>
      </c>
      <c r="S529" s="100" t="str">
        <f>'HAULING RATES- ODOT Locations'!A134</f>
        <v>Clark</v>
      </c>
      <c r="T529" s="100" t="str">
        <f>'HAULING RATES- ODOT Locations'!B134</f>
        <v>1630 W. First Street, Springfield, OH 45504</v>
      </c>
      <c r="U529" t="str">
        <f>'HAULING RATES- ODOT Locations'!E$8</f>
        <v>Gravel</v>
      </c>
      <c r="V529" s="146">
        <f>'HAULING RATES- ODOT Locations'!E134</f>
        <v>0</v>
      </c>
      <c r="W529" s="131" t="str">
        <f>+'Aggregate, Plant Pick-up'!$C$6</f>
        <v>LAFARGE-MARBLEHEAD "OSBORNE-CLEVELAND"</v>
      </c>
      <c r="X529" s="131" t="str">
        <f>+Plant_Information!$B$10</f>
        <v>04105-28</v>
      </c>
      <c r="Y529" s="131" t="str">
        <f>+Plant_Information!$B$11</f>
        <v>2100 CENTRAL FURNACE ROAD</v>
      </c>
      <c r="Z529" s="131" t="str">
        <f>+Plant_Information!$B$12</f>
        <v>CLEVELAND, OH, 44115</v>
      </c>
      <c r="AA529" s="131" t="str">
        <f>+Plant_Information!$B$13</f>
        <v>12</v>
      </c>
      <c r="AB529" s="131" t="str">
        <f>+Plant_Information!$B$14</f>
        <v>CUY</v>
      </c>
      <c r="AC529" s="70"/>
    </row>
    <row r="530" spans="17:29" x14ac:dyDescent="0.2">
      <c r="Q530" s="100" t="str">
        <f>Plant_Information!$B$6</f>
        <v>(INSERT VENDOR NAME HERE)</v>
      </c>
      <c r="R530" s="100" t="str">
        <f>'HAULING RATES- ODOT Locations'!$A$124</f>
        <v>District 7</v>
      </c>
      <c r="S530" s="100" t="str">
        <f>'HAULING RATES- ODOT Locations'!A135</f>
        <v>Darke</v>
      </c>
      <c r="T530" s="100" t="str">
        <f>'HAULING RATES- ODOT Locations'!B135</f>
        <v>5230 Industrial Way, Greenville, OH 45331</v>
      </c>
      <c r="U530" t="str">
        <f>'HAULING RATES- ODOT Locations'!E$8</f>
        <v>Gravel</v>
      </c>
      <c r="V530" s="146">
        <f>'HAULING RATES- ODOT Locations'!E135</f>
        <v>0</v>
      </c>
      <c r="W530" s="131" t="str">
        <f>+'Aggregate, Plant Pick-up'!$C$6</f>
        <v>LAFARGE-MARBLEHEAD "OSBORNE-CLEVELAND"</v>
      </c>
      <c r="X530" s="131" t="str">
        <f>+Plant_Information!$B$10</f>
        <v>04105-28</v>
      </c>
      <c r="Y530" s="131" t="str">
        <f>+Plant_Information!$B$11</f>
        <v>2100 CENTRAL FURNACE ROAD</v>
      </c>
      <c r="Z530" s="131" t="str">
        <f>+Plant_Information!$B$12</f>
        <v>CLEVELAND, OH, 44115</v>
      </c>
      <c r="AA530" s="131" t="str">
        <f>+Plant_Information!$B$13</f>
        <v>12</v>
      </c>
      <c r="AB530" s="131" t="str">
        <f>+Plant_Information!$B$14</f>
        <v>CUY</v>
      </c>
      <c r="AC530" s="70"/>
    </row>
    <row r="531" spans="17:29" x14ac:dyDescent="0.2">
      <c r="Q531" s="100" t="str">
        <f>Plant_Information!$B$6</f>
        <v>(INSERT VENDOR NAME HERE)</v>
      </c>
      <c r="R531" s="100" t="str">
        <f>'HAULING RATES- ODOT Locations'!$A$124</f>
        <v>District 7</v>
      </c>
      <c r="S531" s="100" t="str">
        <f>'HAULING RATES- ODOT Locations'!A136</f>
        <v>Darke</v>
      </c>
      <c r="T531" s="100" t="str">
        <f>'HAULING RATES- ODOT Locations'!B136</f>
        <v>10382 Greenville - St Marys, Versailles, OH 45380</v>
      </c>
      <c r="U531" t="str">
        <f>'HAULING RATES- ODOT Locations'!E$8</f>
        <v>Gravel</v>
      </c>
      <c r="V531" s="146">
        <f>'HAULING RATES- ODOT Locations'!E136</f>
        <v>0</v>
      </c>
      <c r="W531" s="131" t="str">
        <f>+'Aggregate, Plant Pick-up'!$C$6</f>
        <v>LAFARGE-MARBLEHEAD "OSBORNE-CLEVELAND"</v>
      </c>
      <c r="X531" s="131" t="str">
        <f>+Plant_Information!$B$10</f>
        <v>04105-28</v>
      </c>
      <c r="Y531" s="131" t="str">
        <f>+Plant_Information!$B$11</f>
        <v>2100 CENTRAL FURNACE ROAD</v>
      </c>
      <c r="Z531" s="131" t="str">
        <f>+Plant_Information!$B$12</f>
        <v>CLEVELAND, OH, 44115</v>
      </c>
      <c r="AA531" s="131" t="str">
        <f>+Plant_Information!$B$13</f>
        <v>12</v>
      </c>
      <c r="AB531" s="131" t="str">
        <f>+Plant_Information!$B$14</f>
        <v>CUY</v>
      </c>
      <c r="AC531" s="70"/>
    </row>
    <row r="532" spans="17:29" x14ac:dyDescent="0.2">
      <c r="Q532" s="100" t="str">
        <f>Plant_Information!$B$6</f>
        <v>(INSERT VENDOR NAME HERE)</v>
      </c>
      <c r="R532" s="100" t="str">
        <f>'HAULING RATES- ODOT Locations'!$A$124</f>
        <v>District 7</v>
      </c>
      <c r="S532" s="100" t="str">
        <f>'HAULING RATES- ODOT Locations'!A137</f>
        <v>Logan</v>
      </c>
      <c r="T532" s="100" t="str">
        <f>'HAULING RATES- ODOT Locations'!B137</f>
        <v>9254 State Route 235 North, Lakeview, OH 43331</v>
      </c>
      <c r="U532" t="str">
        <f>'HAULING RATES- ODOT Locations'!E$8</f>
        <v>Gravel</v>
      </c>
      <c r="V532" s="146">
        <f>'HAULING RATES- ODOT Locations'!E137</f>
        <v>0</v>
      </c>
      <c r="W532" s="131" t="str">
        <f>+'Aggregate, Plant Pick-up'!$C$6</f>
        <v>LAFARGE-MARBLEHEAD "OSBORNE-CLEVELAND"</v>
      </c>
      <c r="X532" s="131" t="str">
        <f>+Plant_Information!$B$10</f>
        <v>04105-28</v>
      </c>
      <c r="Y532" s="131" t="str">
        <f>+Plant_Information!$B$11</f>
        <v>2100 CENTRAL FURNACE ROAD</v>
      </c>
      <c r="Z532" s="131" t="str">
        <f>+Plant_Information!$B$12</f>
        <v>CLEVELAND, OH, 44115</v>
      </c>
      <c r="AA532" s="131" t="str">
        <f>+Plant_Information!$B$13</f>
        <v>12</v>
      </c>
      <c r="AB532" s="131" t="str">
        <f>+Plant_Information!$B$14</f>
        <v>CUY</v>
      </c>
      <c r="AC532" s="70"/>
    </row>
    <row r="533" spans="17:29" x14ac:dyDescent="0.2">
      <c r="Q533" s="100" t="str">
        <f>Plant_Information!$B$6</f>
        <v>(INSERT VENDOR NAME HERE)</v>
      </c>
      <c r="R533" s="100" t="str">
        <f>'HAULING RATES- ODOT Locations'!$A$124</f>
        <v>District 7</v>
      </c>
      <c r="S533" s="100" t="str">
        <f>'HAULING RATES- ODOT Locations'!A138</f>
        <v>Logan</v>
      </c>
      <c r="T533" s="100" t="str">
        <f>'HAULING RATES- ODOT Locations'!B138</f>
        <v>E. Liberty OP, 4315 State Route 292, Zanesfield, OH 43319</v>
      </c>
      <c r="U533" t="str">
        <f>'HAULING RATES- ODOT Locations'!E$8</f>
        <v>Gravel</v>
      </c>
      <c r="V533" s="146">
        <f>'HAULING RATES- ODOT Locations'!E138</f>
        <v>0</v>
      </c>
      <c r="W533" s="131" t="str">
        <f>+'Aggregate, Plant Pick-up'!$C$6</f>
        <v>LAFARGE-MARBLEHEAD "OSBORNE-CLEVELAND"</v>
      </c>
      <c r="X533" s="131" t="str">
        <f>+Plant_Information!$B$10</f>
        <v>04105-28</v>
      </c>
      <c r="Y533" s="131" t="str">
        <f>+Plant_Information!$B$11</f>
        <v>2100 CENTRAL FURNACE ROAD</v>
      </c>
      <c r="Z533" s="131" t="str">
        <f>+Plant_Information!$B$12</f>
        <v>CLEVELAND, OH, 44115</v>
      </c>
      <c r="AA533" s="131" t="str">
        <f>+Plant_Information!$B$13</f>
        <v>12</v>
      </c>
      <c r="AB533" s="131" t="str">
        <f>+Plant_Information!$B$14</f>
        <v>CUY</v>
      </c>
      <c r="AC533" s="70"/>
    </row>
    <row r="534" spans="17:29" x14ac:dyDescent="0.2">
      <c r="Q534" s="100" t="str">
        <f>Plant_Information!$B$6</f>
        <v>(INSERT VENDOR NAME HERE)</v>
      </c>
      <c r="R534" s="100" t="str">
        <f>'HAULING RATES- ODOT Locations'!$A$124</f>
        <v>District 7</v>
      </c>
      <c r="S534" s="100" t="str">
        <f>'HAULING RATES- ODOT Locations'!A139</f>
        <v>Logan</v>
      </c>
      <c r="T534" s="100" t="str">
        <f>'HAULING RATES- ODOT Locations'!B139</f>
        <v>149 Northview Drive, Bellefontaine, OH 43311</v>
      </c>
      <c r="U534" t="str">
        <f>'HAULING RATES- ODOT Locations'!E$8</f>
        <v>Gravel</v>
      </c>
      <c r="V534" s="146">
        <f>'HAULING RATES- ODOT Locations'!E139</f>
        <v>0</v>
      </c>
      <c r="W534" s="131" t="str">
        <f>+'Aggregate, Plant Pick-up'!$C$6</f>
        <v>LAFARGE-MARBLEHEAD "OSBORNE-CLEVELAND"</v>
      </c>
      <c r="X534" s="131" t="str">
        <f>+Plant_Information!$B$10</f>
        <v>04105-28</v>
      </c>
      <c r="Y534" s="131" t="str">
        <f>+Plant_Information!$B$11</f>
        <v>2100 CENTRAL FURNACE ROAD</v>
      </c>
      <c r="Z534" s="131" t="str">
        <f>+Plant_Information!$B$12</f>
        <v>CLEVELAND, OH, 44115</v>
      </c>
      <c r="AA534" s="131" t="str">
        <f>+Plant_Information!$B$13</f>
        <v>12</v>
      </c>
      <c r="AB534" s="131" t="str">
        <f>+Plant_Information!$B$14</f>
        <v>CUY</v>
      </c>
      <c r="AC534" s="70"/>
    </row>
    <row r="535" spans="17:29" x14ac:dyDescent="0.2">
      <c r="Q535" s="100" t="str">
        <f>Plant_Information!$B$6</f>
        <v>(INSERT VENDOR NAME HERE)</v>
      </c>
      <c r="R535" s="100" t="str">
        <f>'HAULING RATES- ODOT Locations'!$A$124</f>
        <v>District 7</v>
      </c>
      <c r="S535" s="100" t="str">
        <f>'HAULING RATES- ODOT Locations'!A140</f>
        <v>Mercer</v>
      </c>
      <c r="T535" s="100" t="str">
        <f>'HAULING RATES- ODOT Locations'!B140</f>
        <v>4444 State Route 29 West, Celina, OH 45822</v>
      </c>
      <c r="U535" t="str">
        <f>'HAULING RATES- ODOT Locations'!E$8</f>
        <v>Gravel</v>
      </c>
      <c r="V535" s="146">
        <f>'HAULING RATES- ODOT Locations'!E140</f>
        <v>0</v>
      </c>
      <c r="W535" s="131" t="str">
        <f>+'Aggregate, Plant Pick-up'!$C$6</f>
        <v>LAFARGE-MARBLEHEAD "OSBORNE-CLEVELAND"</v>
      </c>
      <c r="X535" s="131" t="str">
        <f>+Plant_Information!$B$10</f>
        <v>04105-28</v>
      </c>
      <c r="Y535" s="131" t="str">
        <f>+Plant_Information!$B$11</f>
        <v>2100 CENTRAL FURNACE ROAD</v>
      </c>
      <c r="Z535" s="131" t="str">
        <f>+Plant_Information!$B$12</f>
        <v>CLEVELAND, OH, 44115</v>
      </c>
      <c r="AA535" s="131" t="str">
        <f>+Plant_Information!$B$13</f>
        <v>12</v>
      </c>
      <c r="AB535" s="131" t="str">
        <f>+Plant_Information!$B$14</f>
        <v>CUY</v>
      </c>
      <c r="AC535" s="70"/>
    </row>
    <row r="536" spans="17:29" x14ac:dyDescent="0.2">
      <c r="Q536" s="100" t="str">
        <f>Plant_Information!$B$6</f>
        <v>(INSERT VENDOR NAME HERE)</v>
      </c>
      <c r="R536" s="100" t="str">
        <f>'HAULING RATES- ODOT Locations'!$A$124</f>
        <v>District 7</v>
      </c>
      <c r="S536" s="100" t="str">
        <f>'HAULING RATES- ODOT Locations'!A141</f>
        <v>Mercer</v>
      </c>
      <c r="T536" s="100" t="str">
        <f>'HAULING RATES- ODOT Locations'!B141</f>
        <v>Mercer OP, 5729 Mercer Road, Mendon, OH 45862</v>
      </c>
      <c r="U536" t="str">
        <f>'HAULING RATES- ODOT Locations'!E$8</f>
        <v>Gravel</v>
      </c>
      <c r="V536" s="146">
        <f>'HAULING RATES- ODOT Locations'!E141</f>
        <v>0</v>
      </c>
      <c r="W536" s="131" t="str">
        <f>+'Aggregate, Plant Pick-up'!$C$6</f>
        <v>LAFARGE-MARBLEHEAD "OSBORNE-CLEVELAND"</v>
      </c>
      <c r="X536" s="131" t="str">
        <f>+Plant_Information!$B$10</f>
        <v>04105-28</v>
      </c>
      <c r="Y536" s="131" t="str">
        <f>+Plant_Information!$B$11</f>
        <v>2100 CENTRAL FURNACE ROAD</v>
      </c>
      <c r="Z536" s="131" t="str">
        <f>+Plant_Information!$B$12</f>
        <v>CLEVELAND, OH, 44115</v>
      </c>
      <c r="AA536" s="131" t="str">
        <f>+Plant_Information!$B$13</f>
        <v>12</v>
      </c>
      <c r="AB536" s="131" t="str">
        <f>+Plant_Information!$B$14</f>
        <v>CUY</v>
      </c>
      <c r="AC536" s="70"/>
    </row>
    <row r="537" spans="17:29" x14ac:dyDescent="0.2">
      <c r="Q537" s="100" t="str">
        <f>Plant_Information!$B$6</f>
        <v>(INSERT VENDOR NAME HERE)</v>
      </c>
      <c r="R537" s="100" t="str">
        <f>'HAULING RATES- ODOT Locations'!$A$124</f>
        <v>District 7</v>
      </c>
      <c r="S537" s="100" t="str">
        <f>'HAULING RATES- ODOT Locations'!A142</f>
        <v>Mercer</v>
      </c>
      <c r="T537" s="100" t="str">
        <f>'HAULING RATES- ODOT Locations'!B142</f>
        <v>Cassella OP, 5882 State Route 119, St. Henry, OH 45883</v>
      </c>
      <c r="U537" t="str">
        <f>'HAULING RATES- ODOT Locations'!E$8</f>
        <v>Gravel</v>
      </c>
      <c r="V537" s="146">
        <f>'HAULING RATES- ODOT Locations'!E142</f>
        <v>0</v>
      </c>
      <c r="W537" s="131" t="str">
        <f>+'Aggregate, Plant Pick-up'!$C$6</f>
        <v>LAFARGE-MARBLEHEAD "OSBORNE-CLEVELAND"</v>
      </c>
      <c r="X537" s="131" t="str">
        <f>+Plant_Information!$B$10</f>
        <v>04105-28</v>
      </c>
      <c r="Y537" s="131" t="str">
        <f>+Plant_Information!$B$11</f>
        <v>2100 CENTRAL FURNACE ROAD</v>
      </c>
      <c r="Z537" s="131" t="str">
        <f>+Plant_Information!$B$12</f>
        <v>CLEVELAND, OH, 44115</v>
      </c>
      <c r="AA537" s="131" t="str">
        <f>+Plant_Information!$B$13</f>
        <v>12</v>
      </c>
      <c r="AB537" s="131" t="str">
        <f>+Plant_Information!$B$14</f>
        <v>CUY</v>
      </c>
      <c r="AC537" s="70"/>
    </row>
    <row r="538" spans="17:29" x14ac:dyDescent="0.2">
      <c r="Q538" s="100" t="str">
        <f>Plant_Information!$B$6</f>
        <v>(INSERT VENDOR NAME HERE)</v>
      </c>
      <c r="R538" s="100" t="str">
        <f>'HAULING RATES- ODOT Locations'!$A$124</f>
        <v>District 7</v>
      </c>
      <c r="S538" s="100" t="str">
        <f>'HAULING RATES- ODOT Locations'!A143</f>
        <v>Miami</v>
      </c>
      <c r="T538" s="100" t="str">
        <f>'HAULING RATES- ODOT Locations'!B143</f>
        <v>2423 W. State Route 55, Troy, OH 45373</v>
      </c>
      <c r="U538" t="str">
        <f>'HAULING RATES- ODOT Locations'!E$8</f>
        <v>Gravel</v>
      </c>
      <c r="V538" s="146">
        <f>'HAULING RATES- ODOT Locations'!E143</f>
        <v>0</v>
      </c>
      <c r="W538" s="131" t="str">
        <f>+'Aggregate, Plant Pick-up'!$C$6</f>
        <v>LAFARGE-MARBLEHEAD "OSBORNE-CLEVELAND"</v>
      </c>
      <c r="X538" s="131" t="str">
        <f>+Plant_Information!$B$10</f>
        <v>04105-28</v>
      </c>
      <c r="Y538" s="131" t="str">
        <f>+Plant_Information!$B$11</f>
        <v>2100 CENTRAL FURNACE ROAD</v>
      </c>
      <c r="Z538" s="131" t="str">
        <f>+Plant_Information!$B$12</f>
        <v>CLEVELAND, OH, 44115</v>
      </c>
      <c r="AA538" s="131" t="str">
        <f>+Plant_Information!$B$13</f>
        <v>12</v>
      </c>
      <c r="AB538" s="131" t="str">
        <f>+Plant_Information!$B$14</f>
        <v>CUY</v>
      </c>
      <c r="AC538" s="70"/>
    </row>
    <row r="539" spans="17:29" x14ac:dyDescent="0.2">
      <c r="Q539" s="100" t="str">
        <f>Plant_Information!$B$6</f>
        <v>(INSERT VENDOR NAME HERE)</v>
      </c>
      <c r="R539" s="100" t="str">
        <f>'HAULING RATES- ODOT Locations'!$A$124</f>
        <v>District 7</v>
      </c>
      <c r="S539" s="100" t="str">
        <f>'HAULING RATES- ODOT Locations'!A144</f>
        <v>Miami</v>
      </c>
      <c r="T539" s="100" t="str">
        <f>'HAULING RATES- ODOT Locations'!B144</f>
        <v>9015 Looney Road, Piqua, OH 45356</v>
      </c>
      <c r="U539" t="str">
        <f>'HAULING RATES- ODOT Locations'!E$8</f>
        <v>Gravel</v>
      </c>
      <c r="V539" s="146">
        <f>'HAULING RATES- ODOT Locations'!E144</f>
        <v>0</v>
      </c>
      <c r="W539" s="131" t="str">
        <f>+'Aggregate, Plant Pick-up'!$C$6</f>
        <v>LAFARGE-MARBLEHEAD "OSBORNE-CLEVELAND"</v>
      </c>
      <c r="X539" s="131" t="str">
        <f>+Plant_Information!$B$10</f>
        <v>04105-28</v>
      </c>
      <c r="Y539" s="131" t="str">
        <f>+Plant_Information!$B$11</f>
        <v>2100 CENTRAL FURNACE ROAD</v>
      </c>
      <c r="Z539" s="131" t="str">
        <f>+Plant_Information!$B$12</f>
        <v>CLEVELAND, OH, 44115</v>
      </c>
      <c r="AA539" s="131" t="str">
        <f>+Plant_Information!$B$13</f>
        <v>12</v>
      </c>
      <c r="AB539" s="131" t="str">
        <f>+Plant_Information!$B$14</f>
        <v>CUY</v>
      </c>
      <c r="AC539" s="70"/>
    </row>
    <row r="540" spans="17:29" x14ac:dyDescent="0.2">
      <c r="Q540" s="100" t="str">
        <f>Plant_Information!$B$6</f>
        <v>(INSERT VENDOR NAME HERE)</v>
      </c>
      <c r="R540" s="100" t="str">
        <f>'HAULING RATES- ODOT Locations'!$A$124</f>
        <v>District 7</v>
      </c>
      <c r="S540" s="100" t="str">
        <f>'HAULING RATES- ODOT Locations'!A145</f>
        <v>Montgomery</v>
      </c>
      <c r="T540" s="100" t="str">
        <f>'HAULING RATES- ODOT Locations'!B145</f>
        <v>300 Smith Drive, Clayton, OH 45315</v>
      </c>
      <c r="U540" t="str">
        <f>'HAULING RATES- ODOT Locations'!E$8</f>
        <v>Gravel</v>
      </c>
      <c r="V540" s="146">
        <f>'HAULING RATES- ODOT Locations'!E145</f>
        <v>0</v>
      </c>
      <c r="W540" s="131" t="str">
        <f>+'Aggregate, Plant Pick-up'!$C$6</f>
        <v>LAFARGE-MARBLEHEAD "OSBORNE-CLEVELAND"</v>
      </c>
      <c r="X540" s="131" t="str">
        <f>+Plant_Information!$B$10</f>
        <v>04105-28</v>
      </c>
      <c r="Y540" s="131" t="str">
        <f>+Plant_Information!$B$11</f>
        <v>2100 CENTRAL FURNACE ROAD</v>
      </c>
      <c r="Z540" s="131" t="str">
        <f>+Plant_Information!$B$12</f>
        <v>CLEVELAND, OH, 44115</v>
      </c>
      <c r="AA540" s="131" t="str">
        <f>+Plant_Information!$B$13</f>
        <v>12</v>
      </c>
      <c r="AB540" s="131" t="str">
        <f>+Plant_Information!$B$14</f>
        <v>CUY</v>
      </c>
      <c r="AC540" s="70"/>
    </row>
    <row r="541" spans="17:29" x14ac:dyDescent="0.2">
      <c r="Q541" s="100" t="str">
        <f>Plant_Information!$B$6</f>
        <v>(INSERT VENDOR NAME HERE)</v>
      </c>
      <c r="R541" s="100" t="str">
        <f>'HAULING RATES- ODOT Locations'!$A$124</f>
        <v>District 7</v>
      </c>
      <c r="S541" s="100" t="str">
        <f>'HAULING RATES- ODOT Locations'!A146</f>
        <v>Montgomery</v>
      </c>
      <c r="T541" s="100" t="str">
        <f>'HAULING RATES- ODOT Locations'!B146</f>
        <v>3500 Dryden Road, Moraine, OH 45439</v>
      </c>
      <c r="U541" t="str">
        <f>'HAULING RATES- ODOT Locations'!E$8</f>
        <v>Gravel</v>
      </c>
      <c r="V541" s="146">
        <f>'HAULING RATES- ODOT Locations'!E146</f>
        <v>0</v>
      </c>
      <c r="W541" s="131" t="str">
        <f>+'Aggregate, Plant Pick-up'!$C$6</f>
        <v>LAFARGE-MARBLEHEAD "OSBORNE-CLEVELAND"</v>
      </c>
      <c r="X541" s="131" t="str">
        <f>+Plant_Information!$B$10</f>
        <v>04105-28</v>
      </c>
      <c r="Y541" s="131" t="str">
        <f>+Plant_Information!$B$11</f>
        <v>2100 CENTRAL FURNACE ROAD</v>
      </c>
      <c r="Z541" s="131" t="str">
        <f>+Plant_Information!$B$12</f>
        <v>CLEVELAND, OH, 44115</v>
      </c>
      <c r="AA541" s="131" t="str">
        <f>+Plant_Information!$B$13</f>
        <v>12</v>
      </c>
      <c r="AB541" s="131" t="str">
        <f>+Plant_Information!$B$14</f>
        <v>CUY</v>
      </c>
      <c r="AC541" s="70"/>
    </row>
    <row r="542" spans="17:29" x14ac:dyDescent="0.2">
      <c r="Q542" s="100" t="str">
        <f>Plant_Information!$B$6</f>
        <v>(INSERT VENDOR NAME HERE)</v>
      </c>
      <c r="R542" s="100" t="str">
        <f>'HAULING RATES- ODOT Locations'!$A$124</f>
        <v>District 7</v>
      </c>
      <c r="S542" s="100" t="str">
        <f>'HAULING RATES- ODOT Locations'!A147</f>
        <v>Montgomery</v>
      </c>
      <c r="T542" s="100" t="str">
        <f>'HAULING RATES- ODOT Locations'!B147</f>
        <v>7130 Shull Road, Huber Heights, OH 45424</v>
      </c>
      <c r="U542" t="str">
        <f>'HAULING RATES- ODOT Locations'!E$8</f>
        <v>Gravel</v>
      </c>
      <c r="V542" s="146">
        <f>'HAULING RATES- ODOT Locations'!E147</f>
        <v>0</v>
      </c>
      <c r="W542" s="131" t="str">
        <f>+'Aggregate, Plant Pick-up'!$C$6</f>
        <v>LAFARGE-MARBLEHEAD "OSBORNE-CLEVELAND"</v>
      </c>
      <c r="X542" s="131" t="str">
        <f>+Plant_Information!$B$10</f>
        <v>04105-28</v>
      </c>
      <c r="Y542" s="131" t="str">
        <f>+Plant_Information!$B$11</f>
        <v>2100 CENTRAL FURNACE ROAD</v>
      </c>
      <c r="Z542" s="131" t="str">
        <f>+Plant_Information!$B$12</f>
        <v>CLEVELAND, OH, 44115</v>
      </c>
      <c r="AA542" s="131" t="str">
        <f>+Plant_Information!$B$13</f>
        <v>12</v>
      </c>
      <c r="AB542" s="131" t="str">
        <f>+Plant_Information!$B$14</f>
        <v>CUY</v>
      </c>
      <c r="AC542" s="70"/>
    </row>
    <row r="543" spans="17:29" x14ac:dyDescent="0.2">
      <c r="Q543" s="100" t="str">
        <f>Plant_Information!$B$6</f>
        <v>(INSERT VENDOR NAME HERE)</v>
      </c>
      <c r="R543" s="100" t="str">
        <f>'HAULING RATES- ODOT Locations'!$A$124</f>
        <v>District 7</v>
      </c>
      <c r="S543" s="100" t="str">
        <f>'HAULING RATES- ODOT Locations'!A148</f>
        <v>Shelby</v>
      </c>
      <c r="T543" s="100" t="str">
        <f>'HAULING RATES- ODOT Locations'!B148</f>
        <v>2190 Saint Marys Avenue, Sidney, OH 45365</v>
      </c>
      <c r="U543" t="str">
        <f>'HAULING RATES- ODOT Locations'!E$8</f>
        <v>Gravel</v>
      </c>
      <c r="V543" s="146">
        <f>'HAULING RATES- ODOT Locations'!E148</f>
        <v>0</v>
      </c>
      <c r="W543" s="131" t="str">
        <f>+'Aggregate, Plant Pick-up'!$C$6</f>
        <v>LAFARGE-MARBLEHEAD "OSBORNE-CLEVELAND"</v>
      </c>
      <c r="X543" s="131" t="str">
        <f>+Plant_Information!$B$10</f>
        <v>04105-28</v>
      </c>
      <c r="Y543" s="131" t="str">
        <f>+Plant_Information!$B$11</f>
        <v>2100 CENTRAL FURNACE ROAD</v>
      </c>
      <c r="Z543" s="131" t="str">
        <f>+Plant_Information!$B$12</f>
        <v>CLEVELAND, OH, 44115</v>
      </c>
      <c r="AA543" s="131" t="str">
        <f>+Plant_Information!$B$13</f>
        <v>12</v>
      </c>
      <c r="AB543" s="131" t="str">
        <f>+Plant_Information!$B$14</f>
        <v>CUY</v>
      </c>
      <c r="AC543" s="70"/>
    </row>
    <row r="544" spans="17:29" x14ac:dyDescent="0.2">
      <c r="Q544" s="138" t="str">
        <f>Plant_Information!$B$6</f>
        <v>(INSERT VENDOR NAME HERE)</v>
      </c>
      <c r="R544" s="138" t="str">
        <f>'HAULING RATES- ODOT Locations'!$A$124</f>
        <v>District 7</v>
      </c>
      <c r="S544" s="138" t="str">
        <f>'HAULING RATES- ODOT Locations'!A149</f>
        <v>Shelby</v>
      </c>
      <c r="T544" s="138" t="str">
        <f>'HAULING RATES- ODOT Locations'!B149</f>
        <v>15825 County Road 25A, Botkins, OH 45306</v>
      </c>
      <c r="U544" s="138" t="str">
        <f>'HAULING RATES- ODOT Locations'!E$8</f>
        <v>Gravel</v>
      </c>
      <c r="V544" s="146">
        <f>'HAULING RATES- ODOT Locations'!E149</f>
        <v>0</v>
      </c>
      <c r="W544" s="141" t="str">
        <f>+'Aggregate, Plant Pick-up'!$C$6</f>
        <v>LAFARGE-MARBLEHEAD "OSBORNE-CLEVELAND"</v>
      </c>
      <c r="X544" s="141" t="str">
        <f>+Plant_Information!$B$10</f>
        <v>04105-28</v>
      </c>
      <c r="Y544" s="141" t="str">
        <f>+Plant_Information!$B$11</f>
        <v>2100 CENTRAL FURNACE ROAD</v>
      </c>
      <c r="Z544" s="141" t="str">
        <f>+Plant_Information!$B$12</f>
        <v>CLEVELAND, OH, 44115</v>
      </c>
      <c r="AA544" s="141" t="str">
        <f>+Plant_Information!$B$13</f>
        <v>12</v>
      </c>
      <c r="AB544" s="141" t="str">
        <f>+Plant_Information!$B$14</f>
        <v>CUY</v>
      </c>
      <c r="AC544" s="70"/>
    </row>
    <row r="545" spans="17:29" x14ac:dyDescent="0.2">
      <c r="Q545" s="100" t="str">
        <f>Plant_Information!$B$6</f>
        <v>(INSERT VENDOR NAME HERE)</v>
      </c>
      <c r="R545" s="100" t="str">
        <f>'HAULING RATES- ODOT Locations'!$A$124</f>
        <v>District 7</v>
      </c>
      <c r="S545" s="100" t="str">
        <f>'HAULING RATES- ODOT Locations'!A150</f>
        <v>Shelby</v>
      </c>
      <c r="T545" s="100" t="str">
        <f>'HAULING RATES- ODOT Locations'!B150</f>
        <v>Newport OP, 4339 W. State Route 47, Ft. Loramie, OH 45845</v>
      </c>
      <c r="U545" t="str">
        <f>'HAULING RATES- ODOT Locations'!E$8</f>
        <v>Gravel</v>
      </c>
      <c r="V545" s="146">
        <f>'HAULING RATES- ODOT Locations'!E150</f>
        <v>0</v>
      </c>
      <c r="W545" s="131" t="str">
        <f>+'Aggregate, Plant Pick-up'!$C$6</f>
        <v>LAFARGE-MARBLEHEAD "OSBORNE-CLEVELAND"</v>
      </c>
      <c r="X545" s="131" t="str">
        <f>+Plant_Information!$B$10</f>
        <v>04105-28</v>
      </c>
      <c r="Y545" s="131" t="str">
        <f>+Plant_Information!$B$11</f>
        <v>2100 CENTRAL FURNACE ROAD</v>
      </c>
      <c r="Z545" s="131" t="str">
        <f>+Plant_Information!$B$12</f>
        <v>CLEVELAND, OH, 44115</v>
      </c>
      <c r="AA545" s="131" t="str">
        <f>+Plant_Information!$B$13</f>
        <v>12</v>
      </c>
      <c r="AB545" s="131" t="str">
        <f>+Plant_Information!$B$14</f>
        <v>CUY</v>
      </c>
      <c r="AC545" s="70"/>
    </row>
    <row r="546" spans="17:29" x14ac:dyDescent="0.2">
      <c r="Q546" s="100" t="str">
        <f>Plant_Information!$B$6</f>
        <v>(INSERT VENDOR NAME HERE)</v>
      </c>
      <c r="R546" s="100" t="str">
        <f>'HAULING RATES- ODOT Locations'!$A$151</f>
        <v>District 8</v>
      </c>
      <c r="S546" s="100" t="str">
        <f>'HAULING RATES- ODOT Locations'!A154</f>
        <v>Butler</v>
      </c>
      <c r="T546" s="100" t="str">
        <f>'HAULING RATES- ODOT Locations'!B154</f>
        <v>4560 Kyles Station, Hamilton, OH 45011</v>
      </c>
      <c r="U546" t="str">
        <f>'HAULING RATES- ODOT Locations'!E$8</f>
        <v>Gravel</v>
      </c>
      <c r="V546" s="146">
        <f>'HAULING RATES- ODOT Locations'!E154</f>
        <v>0</v>
      </c>
      <c r="W546" s="131" t="str">
        <f>+'Aggregate, Plant Pick-up'!$C$6</f>
        <v>LAFARGE-MARBLEHEAD "OSBORNE-CLEVELAND"</v>
      </c>
      <c r="X546" s="131" t="str">
        <f>+Plant_Information!$B$10</f>
        <v>04105-28</v>
      </c>
      <c r="Y546" s="131" t="str">
        <f>+Plant_Information!$B$11</f>
        <v>2100 CENTRAL FURNACE ROAD</v>
      </c>
      <c r="Z546" s="131" t="str">
        <f>+Plant_Information!$B$12</f>
        <v>CLEVELAND, OH, 44115</v>
      </c>
      <c r="AA546" s="131" t="str">
        <f>+Plant_Information!$B$13</f>
        <v>12</v>
      </c>
      <c r="AB546" s="131" t="str">
        <f>+Plant_Information!$B$14</f>
        <v>CUY</v>
      </c>
      <c r="AC546" s="70"/>
    </row>
    <row r="547" spans="17:29" x14ac:dyDescent="0.2">
      <c r="Q547" s="100" t="str">
        <f>Plant_Information!$B$6</f>
        <v>(INSERT VENDOR NAME HERE)</v>
      </c>
      <c r="R547" s="100" t="str">
        <f>'HAULING RATES- ODOT Locations'!$A$151</f>
        <v>District 8</v>
      </c>
      <c r="S547" s="100" t="str">
        <f>'HAULING RATES- ODOT Locations'!A155</f>
        <v>Butler</v>
      </c>
      <c r="T547" s="100" t="str">
        <f>'HAULING RATES- ODOT Locations'!B155</f>
        <v>4011 Tytus Ave., Middletown, OH 45042</v>
      </c>
      <c r="U547" t="str">
        <f>'HAULING RATES- ODOT Locations'!E$8</f>
        <v>Gravel</v>
      </c>
      <c r="V547" s="146">
        <f>'HAULING RATES- ODOT Locations'!E155</f>
        <v>0</v>
      </c>
      <c r="W547" s="131" t="str">
        <f>+'Aggregate, Plant Pick-up'!$C$6</f>
        <v>LAFARGE-MARBLEHEAD "OSBORNE-CLEVELAND"</v>
      </c>
      <c r="X547" s="131" t="str">
        <f>+Plant_Information!$B$10</f>
        <v>04105-28</v>
      </c>
      <c r="Y547" s="131" t="str">
        <f>+Plant_Information!$B$11</f>
        <v>2100 CENTRAL FURNACE ROAD</v>
      </c>
      <c r="Z547" s="131" t="str">
        <f>+Plant_Information!$B$12</f>
        <v>CLEVELAND, OH, 44115</v>
      </c>
      <c r="AA547" s="131" t="str">
        <f>+Plant_Information!$B$13</f>
        <v>12</v>
      </c>
      <c r="AB547" s="131" t="str">
        <f>+Plant_Information!$B$14</f>
        <v>CUY</v>
      </c>
      <c r="AC547" s="70"/>
    </row>
    <row r="548" spans="17:29" x14ac:dyDescent="0.2">
      <c r="Q548" s="100" t="str">
        <f>Plant_Information!$B$6</f>
        <v>(INSERT VENDOR NAME HERE)</v>
      </c>
      <c r="R548" s="100" t="str">
        <f>'HAULING RATES- ODOT Locations'!$A$151</f>
        <v>District 8</v>
      </c>
      <c r="S548" s="100" t="str">
        <f>'HAULING RATES- ODOT Locations'!A156</f>
        <v>Clermont</v>
      </c>
      <c r="T548" s="100" t="str">
        <f>'HAULING RATES- ODOT Locations'!B156</f>
        <v>Batavia Garage, 3600 SR 132, Amelia, OH 45102</v>
      </c>
      <c r="U548" t="str">
        <f>'HAULING RATES- ODOT Locations'!E$8</f>
        <v>Gravel</v>
      </c>
      <c r="V548" s="146">
        <f>'HAULING RATES- ODOT Locations'!E156</f>
        <v>0</v>
      </c>
      <c r="W548" s="131" t="str">
        <f>+'Aggregate, Plant Pick-up'!$C$6</f>
        <v>LAFARGE-MARBLEHEAD "OSBORNE-CLEVELAND"</v>
      </c>
      <c r="X548" s="131" t="str">
        <f>+Plant_Information!$B$10</f>
        <v>04105-28</v>
      </c>
      <c r="Y548" s="131" t="str">
        <f>+Plant_Information!$B$11</f>
        <v>2100 CENTRAL FURNACE ROAD</v>
      </c>
      <c r="Z548" s="131" t="str">
        <f>+Plant_Information!$B$12</f>
        <v>CLEVELAND, OH, 44115</v>
      </c>
      <c r="AA548" s="131" t="str">
        <f>+Plant_Information!$B$13</f>
        <v>12</v>
      </c>
      <c r="AB548" s="131" t="str">
        <f>+Plant_Information!$B$14</f>
        <v>CUY</v>
      </c>
      <c r="AC548" s="70"/>
    </row>
    <row r="549" spans="17:29" x14ac:dyDescent="0.2">
      <c r="Q549" s="100" t="str">
        <f>Plant_Information!$B$6</f>
        <v>(INSERT VENDOR NAME HERE)</v>
      </c>
      <c r="R549" s="100" t="str">
        <f>'HAULING RATES- ODOT Locations'!$A$151</f>
        <v>District 8</v>
      </c>
      <c r="S549" s="100" t="str">
        <f>'HAULING RATES- ODOT Locations'!A157</f>
        <v>Clermont</v>
      </c>
      <c r="T549" s="100" t="str">
        <f>'HAULING RATES- ODOT Locations'!B157</f>
        <v>809 U. S. Route 50, Milford, OH 45150</v>
      </c>
      <c r="U549" t="str">
        <f>'HAULING RATES- ODOT Locations'!E$8</f>
        <v>Gravel</v>
      </c>
      <c r="V549" s="146">
        <f>'HAULING RATES- ODOT Locations'!E157</f>
        <v>0</v>
      </c>
      <c r="W549" s="131" t="str">
        <f>+'Aggregate, Plant Pick-up'!$C$6</f>
        <v>LAFARGE-MARBLEHEAD "OSBORNE-CLEVELAND"</v>
      </c>
      <c r="X549" s="131" t="str">
        <f>+Plant_Information!$B$10</f>
        <v>04105-28</v>
      </c>
      <c r="Y549" s="131" t="str">
        <f>+Plant_Information!$B$11</f>
        <v>2100 CENTRAL FURNACE ROAD</v>
      </c>
      <c r="Z549" s="131" t="str">
        <f>+Plant_Information!$B$12</f>
        <v>CLEVELAND, OH, 44115</v>
      </c>
      <c r="AA549" s="131" t="str">
        <f>+Plant_Information!$B$13</f>
        <v>12</v>
      </c>
      <c r="AB549" s="131" t="str">
        <f>+Plant_Information!$B$14</f>
        <v>CUY</v>
      </c>
      <c r="AC549" s="70"/>
    </row>
    <row r="550" spans="17:29" x14ac:dyDescent="0.2">
      <c r="Q550" s="100" t="str">
        <f>Plant_Information!$B$6</f>
        <v>(INSERT VENDOR NAME HERE)</v>
      </c>
      <c r="R550" s="100" t="str">
        <f>'HAULING RATES- ODOT Locations'!$A$151</f>
        <v>District 8</v>
      </c>
      <c r="S550" s="100" t="str">
        <f>'HAULING RATES- ODOT Locations'!A158</f>
        <v>Clermont</v>
      </c>
      <c r="T550" s="100" t="str">
        <f>'HAULING RATES- ODOT Locations'!B158</f>
        <v>939 Old U. S. Route 52, New Richmond, OH 45157</v>
      </c>
      <c r="U550" t="str">
        <f>'HAULING RATES- ODOT Locations'!E$8</f>
        <v>Gravel</v>
      </c>
      <c r="V550" s="146">
        <f>'HAULING RATES- ODOT Locations'!E158</f>
        <v>0</v>
      </c>
      <c r="W550" s="131" t="str">
        <f>+'Aggregate, Plant Pick-up'!$C$6</f>
        <v>LAFARGE-MARBLEHEAD "OSBORNE-CLEVELAND"</v>
      </c>
      <c r="X550" s="131" t="str">
        <f>+Plant_Information!$B$10</f>
        <v>04105-28</v>
      </c>
      <c r="Y550" s="131" t="str">
        <f>+Plant_Information!$B$11</f>
        <v>2100 CENTRAL FURNACE ROAD</v>
      </c>
      <c r="Z550" s="131" t="str">
        <f>+Plant_Information!$B$12</f>
        <v>CLEVELAND, OH, 44115</v>
      </c>
      <c r="AA550" s="131" t="str">
        <f>+Plant_Information!$B$13</f>
        <v>12</v>
      </c>
      <c r="AB550" s="131" t="str">
        <f>+Plant_Information!$B$14</f>
        <v>CUY</v>
      </c>
      <c r="AC550" s="70"/>
    </row>
    <row r="551" spans="17:29" x14ac:dyDescent="0.2">
      <c r="Q551" s="100" t="str">
        <f>Plant_Information!$B$6</f>
        <v>(INSERT VENDOR NAME HERE)</v>
      </c>
      <c r="R551" s="100" t="str">
        <f>'HAULING RATES- ODOT Locations'!$A$151</f>
        <v>District 8</v>
      </c>
      <c r="S551" s="100" t="str">
        <f>'HAULING RATES- ODOT Locations'!A159</f>
        <v>Clinton</v>
      </c>
      <c r="T551" s="100" t="str">
        <f>'HAULING RATES- ODOT Locations'!B159</f>
        <v>3382 U. S. Route 68, Wilmington, OH 45177</v>
      </c>
      <c r="U551" t="str">
        <f>'HAULING RATES- ODOT Locations'!E$8</f>
        <v>Gravel</v>
      </c>
      <c r="V551" s="146">
        <f>'HAULING RATES- ODOT Locations'!E159</f>
        <v>0</v>
      </c>
      <c r="W551" s="131" t="str">
        <f>+'Aggregate, Plant Pick-up'!$C$6</f>
        <v>LAFARGE-MARBLEHEAD "OSBORNE-CLEVELAND"</v>
      </c>
      <c r="X551" s="131" t="str">
        <f>+Plant_Information!$B$10</f>
        <v>04105-28</v>
      </c>
      <c r="Y551" s="131" t="str">
        <f>+Plant_Information!$B$11</f>
        <v>2100 CENTRAL FURNACE ROAD</v>
      </c>
      <c r="Z551" s="131" t="str">
        <f>+Plant_Information!$B$12</f>
        <v>CLEVELAND, OH, 44115</v>
      </c>
      <c r="AA551" s="131" t="str">
        <f>+Plant_Information!$B$13</f>
        <v>12</v>
      </c>
      <c r="AB551" s="131" t="str">
        <f>+Plant_Information!$B$14</f>
        <v>CUY</v>
      </c>
      <c r="AC551" s="70"/>
    </row>
    <row r="552" spans="17:29" x14ac:dyDescent="0.2">
      <c r="Q552" s="100" t="str">
        <f>Plant_Information!$B$6</f>
        <v>(INSERT VENDOR NAME HERE)</v>
      </c>
      <c r="R552" s="100" t="str">
        <f>'HAULING RATES- ODOT Locations'!$A$151</f>
        <v>District 8</v>
      </c>
      <c r="S552" s="100" t="str">
        <f>'HAULING RATES- ODOT Locations'!A160</f>
        <v>Clinton</v>
      </c>
      <c r="T552" s="100" t="str">
        <f>'HAULING RATES- ODOT Locations'!B160</f>
        <v>5996 U. S. Route 68, Wilmington, OH 45177  (I-71 &amp; USR 68 OP)</v>
      </c>
      <c r="U552" t="str">
        <f>'HAULING RATES- ODOT Locations'!E$8</f>
        <v>Gravel</v>
      </c>
      <c r="V552" s="146">
        <f>'HAULING RATES- ODOT Locations'!E160</f>
        <v>0</v>
      </c>
      <c r="W552" s="131" t="str">
        <f>+'Aggregate, Plant Pick-up'!$C$6</f>
        <v>LAFARGE-MARBLEHEAD "OSBORNE-CLEVELAND"</v>
      </c>
      <c r="X552" s="131" t="str">
        <f>+Plant_Information!$B$10</f>
        <v>04105-28</v>
      </c>
      <c r="Y552" s="131" t="str">
        <f>+Plant_Information!$B$11</f>
        <v>2100 CENTRAL FURNACE ROAD</v>
      </c>
      <c r="Z552" s="131" t="str">
        <f>+Plant_Information!$B$12</f>
        <v>CLEVELAND, OH, 44115</v>
      </c>
      <c r="AA552" s="131" t="str">
        <f>+Plant_Information!$B$13</f>
        <v>12</v>
      </c>
      <c r="AB552" s="131" t="str">
        <f>+Plant_Information!$B$14</f>
        <v>CUY</v>
      </c>
      <c r="AC552" s="70"/>
    </row>
    <row r="553" spans="17:29" x14ac:dyDescent="0.2">
      <c r="Q553" s="100" t="str">
        <f>Plant_Information!$B$6</f>
        <v>(INSERT VENDOR NAME HERE)</v>
      </c>
      <c r="R553" s="100" t="str">
        <f>'HAULING RATES- ODOT Locations'!$A$151</f>
        <v>District 8</v>
      </c>
      <c r="S553" s="100" t="str">
        <f>'HAULING RATES- ODOT Locations'!A161</f>
        <v>Greene</v>
      </c>
      <c r="T553" s="100" t="str">
        <f>'HAULING RATES- ODOT Locations'!B161</f>
        <v>81 Innovation Dr., Xenia, OH 45385</v>
      </c>
      <c r="U553" t="str">
        <f>'HAULING RATES- ODOT Locations'!E$8</f>
        <v>Gravel</v>
      </c>
      <c r="V553" s="146">
        <f>'HAULING RATES- ODOT Locations'!E161</f>
        <v>0</v>
      </c>
      <c r="W553" s="131" t="str">
        <f>+'Aggregate, Plant Pick-up'!$C$6</f>
        <v>LAFARGE-MARBLEHEAD "OSBORNE-CLEVELAND"</v>
      </c>
      <c r="X553" s="131" t="str">
        <f>+Plant_Information!$B$10</f>
        <v>04105-28</v>
      </c>
      <c r="Y553" s="131" t="str">
        <f>+Plant_Information!$B$11</f>
        <v>2100 CENTRAL FURNACE ROAD</v>
      </c>
      <c r="Z553" s="131" t="str">
        <f>+Plant_Information!$B$12</f>
        <v>CLEVELAND, OH, 44115</v>
      </c>
      <c r="AA553" s="131" t="str">
        <f>+Plant_Information!$B$13</f>
        <v>12</v>
      </c>
      <c r="AB553" s="131" t="str">
        <f>+Plant_Information!$B$14</f>
        <v>CUY</v>
      </c>
      <c r="AC553" s="70"/>
    </row>
    <row r="554" spans="17:29" x14ac:dyDescent="0.2">
      <c r="Q554" s="100" t="str">
        <f>Plant_Information!$B$6</f>
        <v>(INSERT VENDOR NAME HERE)</v>
      </c>
      <c r="R554" s="100" t="str">
        <f>'HAULING RATES- ODOT Locations'!$A$151</f>
        <v>District 8</v>
      </c>
      <c r="S554" s="100" t="str">
        <f>'HAULING RATES- ODOT Locations'!A162</f>
        <v>Hamilton</v>
      </c>
      <c r="T554" s="100" t="str">
        <f>'HAULING RATES- ODOT Locations'!B162</f>
        <v>Blue Ash OP, 11590 Grooms Road, Blue Ash, OH 45242</v>
      </c>
      <c r="U554" t="str">
        <f>'HAULING RATES- ODOT Locations'!E$8</f>
        <v>Gravel</v>
      </c>
      <c r="V554" s="146">
        <f>'HAULING RATES- ODOT Locations'!E162</f>
        <v>0</v>
      </c>
      <c r="W554" s="131" t="str">
        <f>+'Aggregate, Plant Pick-up'!$C$6</f>
        <v>LAFARGE-MARBLEHEAD "OSBORNE-CLEVELAND"</v>
      </c>
      <c r="X554" s="131" t="str">
        <f>+Plant_Information!$B$10</f>
        <v>04105-28</v>
      </c>
      <c r="Y554" s="131" t="str">
        <f>+Plant_Information!$B$11</f>
        <v>2100 CENTRAL FURNACE ROAD</v>
      </c>
      <c r="Z554" s="131" t="str">
        <f>+Plant_Information!$B$12</f>
        <v>CLEVELAND, OH, 44115</v>
      </c>
      <c r="AA554" s="131" t="str">
        <f>+Plant_Information!$B$13</f>
        <v>12</v>
      </c>
      <c r="AB554" s="131" t="str">
        <f>+Plant_Information!$B$14</f>
        <v>CUY</v>
      </c>
      <c r="AC554" s="70"/>
    </row>
    <row r="555" spans="17:29" x14ac:dyDescent="0.2">
      <c r="Q555" s="100" t="str">
        <f>Plant_Information!$B$6</f>
        <v>(INSERT VENDOR NAME HERE)</v>
      </c>
      <c r="R555" s="100" t="str">
        <f>'HAULING RATES- ODOT Locations'!$A$151</f>
        <v>District 8</v>
      </c>
      <c r="S555" s="100" t="str">
        <f>'HAULING RATES- ODOT Locations'!A163</f>
        <v>Hamilton</v>
      </c>
      <c r="T555" s="100" t="str">
        <f>'HAULING RATES- ODOT Locations'!B163</f>
        <v>Hamilton Garage, Carthage, 1400 E. Seymour Ave., Cincinnati, OH 45327</v>
      </c>
      <c r="U555" t="str">
        <f>'HAULING RATES- ODOT Locations'!E$8</f>
        <v>Gravel</v>
      </c>
      <c r="V555" s="146">
        <f>'HAULING RATES- ODOT Locations'!E163</f>
        <v>0</v>
      </c>
      <c r="W555" s="131" t="str">
        <f>+'Aggregate, Plant Pick-up'!$C$6</f>
        <v>LAFARGE-MARBLEHEAD "OSBORNE-CLEVELAND"</v>
      </c>
      <c r="X555" s="131" t="str">
        <f>+Plant_Information!$B$10</f>
        <v>04105-28</v>
      </c>
      <c r="Y555" s="131" t="str">
        <f>+Plant_Information!$B$11</f>
        <v>2100 CENTRAL FURNACE ROAD</v>
      </c>
      <c r="Z555" s="131" t="str">
        <f>+Plant_Information!$B$12</f>
        <v>CLEVELAND, OH, 44115</v>
      </c>
      <c r="AA555" s="131" t="str">
        <f>+Plant_Information!$B$13</f>
        <v>12</v>
      </c>
      <c r="AB555" s="131" t="str">
        <f>+Plant_Information!$B$14</f>
        <v>CUY</v>
      </c>
      <c r="AC555" s="70"/>
    </row>
    <row r="556" spans="17:29" x14ac:dyDescent="0.2">
      <c r="Q556" s="100" t="str">
        <f>Plant_Information!$B$6</f>
        <v>(INSERT VENDOR NAME HERE)</v>
      </c>
      <c r="R556" s="100" t="str">
        <f>'HAULING RATES- ODOT Locations'!$A$151</f>
        <v>District 8</v>
      </c>
      <c r="S556" s="100" t="str">
        <f>'HAULING RATES- ODOT Locations'!A164</f>
        <v>Hamilton</v>
      </c>
      <c r="T556" s="100" t="str">
        <f>'HAULING RATES- ODOT Locations'!B164</f>
        <v>5903 State Route 128, Miamitown, OH 45041</v>
      </c>
      <c r="U556" t="str">
        <f>'HAULING RATES- ODOT Locations'!E$8</f>
        <v>Gravel</v>
      </c>
      <c r="V556" s="146">
        <f>'HAULING RATES- ODOT Locations'!E164</f>
        <v>0</v>
      </c>
      <c r="W556" s="131" t="str">
        <f>+'Aggregate, Plant Pick-up'!$C$6</f>
        <v>LAFARGE-MARBLEHEAD "OSBORNE-CLEVELAND"</v>
      </c>
      <c r="X556" s="131" t="str">
        <f>+Plant_Information!$B$10</f>
        <v>04105-28</v>
      </c>
      <c r="Y556" s="131" t="str">
        <f>+Plant_Information!$B$11</f>
        <v>2100 CENTRAL FURNACE ROAD</v>
      </c>
      <c r="Z556" s="131" t="str">
        <f>+Plant_Information!$B$12</f>
        <v>CLEVELAND, OH, 44115</v>
      </c>
      <c r="AA556" s="131" t="str">
        <f>+Plant_Information!$B$13</f>
        <v>12</v>
      </c>
      <c r="AB556" s="131" t="str">
        <f>+Plant_Information!$B$14</f>
        <v>CUY</v>
      </c>
      <c r="AC556" s="70"/>
    </row>
    <row r="557" spans="17:29" x14ac:dyDescent="0.2">
      <c r="Q557" s="100" t="str">
        <f>Plant_Information!$B$6</f>
        <v>(INSERT VENDOR NAME HERE)</v>
      </c>
      <c r="R557" s="100" t="str">
        <f>'HAULING RATES- ODOT Locations'!$A$151</f>
        <v>District 8</v>
      </c>
      <c r="S557" s="100" t="str">
        <f>'HAULING RATES- ODOT Locations'!A165</f>
        <v>Hamilton</v>
      </c>
      <c r="T557" s="100" t="str">
        <f>'HAULING RATES- ODOT Locations'!B165</f>
        <v>Sharonville OP, 11900 Chesterdale Rd.,  Cincinnati</v>
      </c>
      <c r="U557" t="str">
        <f>'HAULING RATES- ODOT Locations'!E$8</f>
        <v>Gravel</v>
      </c>
      <c r="V557" s="146">
        <f>'HAULING RATES- ODOT Locations'!E165</f>
        <v>0</v>
      </c>
      <c r="W557" s="131" t="str">
        <f>+'Aggregate, Plant Pick-up'!$C$6</f>
        <v>LAFARGE-MARBLEHEAD "OSBORNE-CLEVELAND"</v>
      </c>
      <c r="X557" s="131" t="str">
        <f>+Plant_Information!$B$10</f>
        <v>04105-28</v>
      </c>
      <c r="Y557" s="131" t="str">
        <f>+Plant_Information!$B$11</f>
        <v>2100 CENTRAL FURNACE ROAD</v>
      </c>
      <c r="Z557" s="131" t="str">
        <f>+Plant_Information!$B$12</f>
        <v>CLEVELAND, OH, 44115</v>
      </c>
      <c r="AA557" s="131" t="str">
        <f>+Plant_Information!$B$13</f>
        <v>12</v>
      </c>
      <c r="AB557" s="131" t="str">
        <f>+Plant_Information!$B$14</f>
        <v>CUY</v>
      </c>
      <c r="AC557" s="70"/>
    </row>
    <row r="558" spans="17:29" x14ac:dyDescent="0.2">
      <c r="Q558" s="100" t="str">
        <f>Plant_Information!$B$6</f>
        <v>(INSERT VENDOR NAME HERE)</v>
      </c>
      <c r="R558" s="100" t="str">
        <f>'HAULING RATES- ODOT Locations'!$A$151</f>
        <v>District 8</v>
      </c>
      <c r="S558" s="100" t="str">
        <f>'HAULING RATES- ODOT Locations'!A166</f>
        <v>Preble</v>
      </c>
      <c r="T558" s="100" t="str">
        <f>'HAULING RATES- ODOT Locations'!B166</f>
        <v>40' Pitch OP, 5656 US 127 North, Eaton, OH 45320</v>
      </c>
      <c r="U558" t="str">
        <f>'HAULING RATES- ODOT Locations'!E$8</f>
        <v>Gravel</v>
      </c>
      <c r="V558" s="146">
        <f>'HAULING RATES- ODOT Locations'!E166</f>
        <v>0</v>
      </c>
      <c r="W558" s="131" t="str">
        <f>+'Aggregate, Plant Pick-up'!$C$6</f>
        <v>LAFARGE-MARBLEHEAD "OSBORNE-CLEVELAND"</v>
      </c>
      <c r="X558" s="131" t="str">
        <f>+Plant_Information!$B$10</f>
        <v>04105-28</v>
      </c>
      <c r="Y558" s="131" t="str">
        <f>+Plant_Information!$B$11</f>
        <v>2100 CENTRAL FURNACE ROAD</v>
      </c>
      <c r="Z558" s="131" t="str">
        <f>+Plant_Information!$B$12</f>
        <v>CLEVELAND, OH, 44115</v>
      </c>
      <c r="AA558" s="131" t="str">
        <f>+Plant_Information!$B$13</f>
        <v>12</v>
      </c>
      <c r="AB558" s="131" t="str">
        <f>+Plant_Information!$B$14</f>
        <v>CUY</v>
      </c>
      <c r="AC558" s="70"/>
    </row>
    <row r="559" spans="17:29" x14ac:dyDescent="0.2">
      <c r="Q559" s="100" t="str">
        <f>Plant_Information!$B$6</f>
        <v>(INSERT VENDOR NAME HERE)</v>
      </c>
      <c r="R559" s="100" t="str">
        <f>'HAULING RATES- ODOT Locations'!$A$151</f>
        <v>District 8</v>
      </c>
      <c r="S559" s="100" t="str">
        <f>'HAULING RATES- ODOT Locations'!A167</f>
        <v>Preble</v>
      </c>
      <c r="T559" s="100" t="str">
        <f>'HAULING RATES- ODOT Locations'!B167</f>
        <v>39.575773, -84.711591, According to Google Maps, 17188 SR 732, Camden, Ohio  45311</v>
      </c>
      <c r="U559" t="str">
        <f>'HAULING RATES- ODOT Locations'!E$8</f>
        <v>Gravel</v>
      </c>
      <c r="V559" s="146">
        <f>'HAULING RATES- ODOT Locations'!E167</f>
        <v>0</v>
      </c>
      <c r="W559" s="131" t="str">
        <f>+'Aggregate, Plant Pick-up'!$C$6</f>
        <v>LAFARGE-MARBLEHEAD "OSBORNE-CLEVELAND"</v>
      </c>
      <c r="X559" s="131" t="str">
        <f>+Plant_Information!$B$10</f>
        <v>04105-28</v>
      </c>
      <c r="Y559" s="131" t="str">
        <f>+Plant_Information!$B$11</f>
        <v>2100 CENTRAL FURNACE ROAD</v>
      </c>
      <c r="Z559" s="131" t="str">
        <f>+Plant_Information!$B$12</f>
        <v>CLEVELAND, OH, 44115</v>
      </c>
      <c r="AA559" s="131" t="str">
        <f>+Plant_Information!$B$13</f>
        <v>12</v>
      </c>
      <c r="AB559" s="131" t="str">
        <f>+Plant_Information!$B$14</f>
        <v>CUY</v>
      </c>
      <c r="AC559" s="70"/>
    </row>
    <row r="560" spans="17:29" x14ac:dyDescent="0.2">
      <c r="Q560" s="100" t="str">
        <f>Plant_Information!$B$6</f>
        <v>(INSERT VENDOR NAME HERE)</v>
      </c>
      <c r="R560" s="100" t="str">
        <f>'HAULING RATES- ODOT Locations'!$A$151</f>
        <v>District 8</v>
      </c>
      <c r="S560" s="100" t="str">
        <f>'HAULING RATES- ODOT Locations'!A168</f>
        <v>Preble</v>
      </c>
      <c r="T560" s="100" t="str">
        <f>'HAULING RATES- ODOT Locations'!B168</f>
        <v>234 Quaker Trace Road, West Alexandria, OH 45381</v>
      </c>
      <c r="U560" t="str">
        <f>'HAULING RATES- ODOT Locations'!E$8</f>
        <v>Gravel</v>
      </c>
      <c r="V560" s="146">
        <f>'HAULING RATES- ODOT Locations'!E168</f>
        <v>0</v>
      </c>
      <c r="W560" s="131" t="str">
        <f>+'Aggregate, Plant Pick-up'!$C$6</f>
        <v>LAFARGE-MARBLEHEAD "OSBORNE-CLEVELAND"</v>
      </c>
      <c r="X560" s="131" t="str">
        <f>+Plant_Information!$B$10</f>
        <v>04105-28</v>
      </c>
      <c r="Y560" s="131" t="str">
        <f>+Plant_Information!$B$11</f>
        <v>2100 CENTRAL FURNACE ROAD</v>
      </c>
      <c r="Z560" s="131" t="str">
        <f>+Plant_Information!$B$12</f>
        <v>CLEVELAND, OH, 44115</v>
      </c>
      <c r="AA560" s="131" t="str">
        <f>+Plant_Information!$B$13</f>
        <v>12</v>
      </c>
      <c r="AB560" s="131" t="str">
        <f>+Plant_Information!$B$14</f>
        <v>CUY</v>
      </c>
      <c r="AC560" s="70"/>
    </row>
    <row r="561" spans="17:29" x14ac:dyDescent="0.2">
      <c r="Q561" s="100" t="str">
        <f>Plant_Information!$B$6</f>
        <v>(INSERT VENDOR NAME HERE)</v>
      </c>
      <c r="R561" s="100" t="str">
        <f>'HAULING RATES- ODOT Locations'!$A$151</f>
        <v>District 8</v>
      </c>
      <c r="S561" s="100" t="str">
        <f>'HAULING RATES- ODOT Locations'!A169</f>
        <v>Warren</v>
      </c>
      <c r="T561" s="100" t="str">
        <f>'HAULING RATES- ODOT Locations'!B169</f>
        <v>Monroe OP, 6101 State Route 63, Lebanon, OH 45036</v>
      </c>
      <c r="U561" t="str">
        <f>'HAULING RATES- ODOT Locations'!E$8</f>
        <v>Gravel</v>
      </c>
      <c r="V561" s="146">
        <f>'HAULING RATES- ODOT Locations'!E169</f>
        <v>0</v>
      </c>
      <c r="W561" s="131" t="str">
        <f>+'Aggregate, Plant Pick-up'!$C$6</f>
        <v>LAFARGE-MARBLEHEAD "OSBORNE-CLEVELAND"</v>
      </c>
      <c r="X561" s="131" t="str">
        <f>+Plant_Information!$B$10</f>
        <v>04105-28</v>
      </c>
      <c r="Y561" s="131" t="str">
        <f>+Plant_Information!$B$11</f>
        <v>2100 CENTRAL FURNACE ROAD</v>
      </c>
      <c r="Z561" s="131" t="str">
        <f>+Plant_Information!$B$12</f>
        <v>CLEVELAND, OH, 44115</v>
      </c>
      <c r="AA561" s="131" t="str">
        <f>+Plant_Information!$B$13</f>
        <v>12</v>
      </c>
      <c r="AB561" s="131" t="str">
        <f>+Plant_Information!$B$14</f>
        <v>CUY</v>
      </c>
      <c r="AC561" s="70"/>
    </row>
    <row r="562" spans="17:29" x14ac:dyDescent="0.2">
      <c r="Q562" s="100" t="str">
        <f>Plant_Information!$B$6</f>
        <v>(INSERT VENDOR NAME HERE)</v>
      </c>
      <c r="R562" s="100" t="str">
        <f>'HAULING RATES- ODOT Locations'!$A$151</f>
        <v>District 8</v>
      </c>
      <c r="S562" s="100" t="str">
        <f>'HAULING RATES- ODOT Locations'!A170</f>
        <v>Warren</v>
      </c>
      <c r="T562" s="100" t="str">
        <f>'HAULING RATES- ODOT Locations'!B170</f>
        <v>1790 Cornett Drive, Lebanon, OH 45036</v>
      </c>
      <c r="U562" t="str">
        <f>'HAULING RATES- ODOT Locations'!E$8</f>
        <v>Gravel</v>
      </c>
      <c r="V562" s="146">
        <f>'HAULING RATES- ODOT Locations'!E170</f>
        <v>0</v>
      </c>
      <c r="W562" s="131" t="str">
        <f>+'Aggregate, Plant Pick-up'!$C$6</f>
        <v>LAFARGE-MARBLEHEAD "OSBORNE-CLEVELAND"</v>
      </c>
      <c r="X562" s="131" t="str">
        <f>+Plant_Information!$B$10</f>
        <v>04105-28</v>
      </c>
      <c r="Y562" s="131" t="str">
        <f>+Plant_Information!$B$11</f>
        <v>2100 CENTRAL FURNACE ROAD</v>
      </c>
      <c r="Z562" s="131" t="str">
        <f>+Plant_Information!$B$12</f>
        <v>CLEVELAND, OH, 44115</v>
      </c>
      <c r="AA562" s="131" t="str">
        <f>+Plant_Information!$B$13</f>
        <v>12</v>
      </c>
      <c r="AB562" s="131" t="str">
        <f>+Plant_Information!$B$14</f>
        <v>CUY</v>
      </c>
      <c r="AC562" s="70"/>
    </row>
    <row r="563" spans="17:29" x14ac:dyDescent="0.2">
      <c r="Q563" s="100" t="str">
        <f>Plant_Information!$B$6</f>
        <v>(INSERT VENDOR NAME HERE)</v>
      </c>
      <c r="R563" s="100" t="str">
        <f>'HAULING RATES- ODOT Locations'!$A$171</f>
        <v>District 9</v>
      </c>
      <c r="S563" s="100" t="str">
        <f>'HAULING RATES- ODOT Locations'!A174</f>
        <v>Adams</v>
      </c>
      <c r="T563" s="100" t="str">
        <f>'HAULING RATES- ODOT Locations'!B174</f>
        <v>1305 Measley Ridge Rd. Peebles, OH 45660</v>
      </c>
      <c r="U563" t="str">
        <f>'HAULING RATES- ODOT Locations'!E$8</f>
        <v>Gravel</v>
      </c>
      <c r="V563" s="146">
        <f>'HAULING RATES- ODOT Locations'!E174</f>
        <v>0</v>
      </c>
      <c r="W563" s="131" t="str">
        <f>+'Aggregate, Plant Pick-up'!$C$6</f>
        <v>LAFARGE-MARBLEHEAD "OSBORNE-CLEVELAND"</v>
      </c>
      <c r="X563" s="131" t="str">
        <f>+Plant_Information!$B$10</f>
        <v>04105-28</v>
      </c>
      <c r="Y563" s="131" t="str">
        <f>+Plant_Information!$B$11</f>
        <v>2100 CENTRAL FURNACE ROAD</v>
      </c>
      <c r="Z563" s="131" t="str">
        <f>+Plant_Information!$B$12</f>
        <v>CLEVELAND, OH, 44115</v>
      </c>
      <c r="AA563" s="131" t="str">
        <f>+Plant_Information!$B$13</f>
        <v>12</v>
      </c>
      <c r="AB563" s="131" t="str">
        <f>+Plant_Information!$B$14</f>
        <v>CUY</v>
      </c>
      <c r="AC563" s="70"/>
    </row>
    <row r="564" spans="17:29" x14ac:dyDescent="0.2">
      <c r="Q564" s="100" t="str">
        <f>Plant_Information!$B$6</f>
        <v>(INSERT VENDOR NAME HERE)</v>
      </c>
      <c r="R564" s="100" t="str">
        <f>'HAULING RATES- ODOT Locations'!$A$171</f>
        <v>District 9</v>
      </c>
      <c r="S564" s="100" t="str">
        <f>'HAULING RATES- ODOT Locations'!A175</f>
        <v>Adams</v>
      </c>
      <c r="T564" s="100" t="str">
        <f>'HAULING RATES- ODOT Locations'!B175</f>
        <v>220 CIC Blvd., West Union, OH 45693</v>
      </c>
      <c r="U564" t="str">
        <f>'HAULING RATES- ODOT Locations'!E$8</f>
        <v>Gravel</v>
      </c>
      <c r="V564" s="146">
        <f>'HAULING RATES- ODOT Locations'!E175</f>
        <v>0</v>
      </c>
      <c r="W564" s="131" t="str">
        <f>+'Aggregate, Plant Pick-up'!$C$6</f>
        <v>LAFARGE-MARBLEHEAD "OSBORNE-CLEVELAND"</v>
      </c>
      <c r="X564" s="131" t="str">
        <f>+Plant_Information!$B$10</f>
        <v>04105-28</v>
      </c>
      <c r="Y564" s="131" t="str">
        <f>+Plant_Information!$B$11</f>
        <v>2100 CENTRAL FURNACE ROAD</v>
      </c>
      <c r="Z564" s="131" t="str">
        <f>+Plant_Information!$B$12</f>
        <v>CLEVELAND, OH, 44115</v>
      </c>
      <c r="AA564" s="131" t="str">
        <f>+Plant_Information!$B$13</f>
        <v>12</v>
      </c>
      <c r="AB564" s="131" t="str">
        <f>+Plant_Information!$B$14</f>
        <v>CUY</v>
      </c>
      <c r="AC564" s="70"/>
    </row>
    <row r="565" spans="17:29" x14ac:dyDescent="0.2">
      <c r="Q565" s="100" t="str">
        <f>Plant_Information!$B$6</f>
        <v>(INSERT VENDOR NAME HERE)</v>
      </c>
      <c r="R565" s="100" t="str">
        <f>'HAULING RATES- ODOT Locations'!$A$171</f>
        <v>District 9</v>
      </c>
      <c r="S565" s="100" t="str">
        <f>'HAULING RATES- ODOT Locations'!A176</f>
        <v>Brown</v>
      </c>
      <c r="T565" s="100" t="str">
        <f>'HAULING RATES- ODOT Locations'!B176</f>
        <v>5124 S.R. 125 Georgetown, OH 45121</v>
      </c>
      <c r="U565" t="str">
        <f>'HAULING RATES- ODOT Locations'!E$8</f>
        <v>Gravel</v>
      </c>
      <c r="V565" s="146">
        <f>'HAULING RATES- ODOT Locations'!E176</f>
        <v>0</v>
      </c>
      <c r="W565" s="131" t="str">
        <f>+'Aggregate, Plant Pick-up'!$C$6</f>
        <v>LAFARGE-MARBLEHEAD "OSBORNE-CLEVELAND"</v>
      </c>
      <c r="X565" s="131" t="str">
        <f>+Plant_Information!$B$10</f>
        <v>04105-28</v>
      </c>
      <c r="Y565" s="131" t="str">
        <f>+Plant_Information!$B$11</f>
        <v>2100 CENTRAL FURNACE ROAD</v>
      </c>
      <c r="Z565" s="131" t="str">
        <f>+Plant_Information!$B$12</f>
        <v>CLEVELAND, OH, 44115</v>
      </c>
      <c r="AA565" s="131" t="str">
        <f>+Plant_Information!$B$13</f>
        <v>12</v>
      </c>
      <c r="AB565" s="131" t="str">
        <f>+Plant_Information!$B$14</f>
        <v>CUY</v>
      </c>
      <c r="AC565" s="70"/>
    </row>
    <row r="566" spans="17:29" x14ac:dyDescent="0.2">
      <c r="Q566" s="100" t="str">
        <f>Plant_Information!$B$6</f>
        <v>(INSERT VENDOR NAME HERE)</v>
      </c>
      <c r="R566" s="100" t="str">
        <f>'HAULING RATES- ODOT Locations'!$A$171</f>
        <v>District 9</v>
      </c>
      <c r="S566" s="100" t="str">
        <f>'HAULING RATES- ODOT Locations'!A177</f>
        <v>Brown</v>
      </c>
      <c r="T566" s="100" t="str">
        <f>'HAULING RATES- ODOT Locations'!B177</f>
        <v>White Oak OP, 5033 Canyon Rd. Mount Orab, OH 45134</v>
      </c>
      <c r="U566" t="str">
        <f>'HAULING RATES- ODOT Locations'!E$8</f>
        <v>Gravel</v>
      </c>
      <c r="V566" s="146">
        <f>'HAULING RATES- ODOT Locations'!E177</f>
        <v>0</v>
      </c>
      <c r="W566" s="131" t="str">
        <f>+'Aggregate, Plant Pick-up'!$C$6</f>
        <v>LAFARGE-MARBLEHEAD "OSBORNE-CLEVELAND"</v>
      </c>
      <c r="X566" s="131" t="str">
        <f>+Plant_Information!$B$10</f>
        <v>04105-28</v>
      </c>
      <c r="Y566" s="131" t="str">
        <f>+Plant_Information!$B$11</f>
        <v>2100 CENTRAL FURNACE ROAD</v>
      </c>
      <c r="Z566" s="131" t="str">
        <f>+Plant_Information!$B$12</f>
        <v>CLEVELAND, OH, 44115</v>
      </c>
      <c r="AA566" s="131" t="str">
        <f>+Plant_Information!$B$13</f>
        <v>12</v>
      </c>
      <c r="AB566" s="131" t="str">
        <f>+Plant_Information!$B$14</f>
        <v>CUY</v>
      </c>
      <c r="AC566" s="70"/>
    </row>
    <row r="567" spans="17:29" x14ac:dyDescent="0.2">
      <c r="Q567" s="100" t="str">
        <f>Plant_Information!$B$6</f>
        <v>(INSERT VENDOR NAME HERE)</v>
      </c>
      <c r="R567" s="100" t="str">
        <f>'HAULING RATES- ODOT Locations'!$A$171</f>
        <v>District 9</v>
      </c>
      <c r="S567" s="100" t="str">
        <f>'HAULING RATES- ODOT Locations'!A178</f>
        <v>Highland</v>
      </c>
      <c r="T567" s="100" t="str">
        <f>'HAULING RATES- ODOT Locations'!B178</f>
        <v>521 E Main St, Hillsboro, OH 45133</v>
      </c>
      <c r="U567" t="str">
        <f>'HAULING RATES- ODOT Locations'!E$8</f>
        <v>Gravel</v>
      </c>
      <c r="V567" s="146">
        <f>'HAULING RATES- ODOT Locations'!E178</f>
        <v>0</v>
      </c>
      <c r="W567" s="131" t="str">
        <f>+'Aggregate, Plant Pick-up'!$C$6</f>
        <v>LAFARGE-MARBLEHEAD "OSBORNE-CLEVELAND"</v>
      </c>
      <c r="X567" s="131" t="str">
        <f>+Plant_Information!$B$10</f>
        <v>04105-28</v>
      </c>
      <c r="Y567" s="131" t="str">
        <f>+Plant_Information!$B$11</f>
        <v>2100 CENTRAL FURNACE ROAD</v>
      </c>
      <c r="Z567" s="131" t="str">
        <f>+Plant_Information!$B$12</f>
        <v>CLEVELAND, OH, 44115</v>
      </c>
      <c r="AA567" s="131" t="str">
        <f>+Plant_Information!$B$13</f>
        <v>12</v>
      </c>
      <c r="AB567" s="131" t="str">
        <f>+Plant_Information!$B$14</f>
        <v>CUY</v>
      </c>
      <c r="AC567" s="70"/>
    </row>
    <row r="568" spans="17:29" x14ac:dyDescent="0.2">
      <c r="Q568" s="100" t="str">
        <f>Plant_Information!$B$6</f>
        <v>(INSERT VENDOR NAME HERE)</v>
      </c>
      <c r="R568" s="100" t="str">
        <f>'HAULING RATES- ODOT Locations'!$A$171</f>
        <v>District 9</v>
      </c>
      <c r="S568" s="100" t="str">
        <f>'HAULING RATES- ODOT Locations'!A179</f>
        <v>Jackson</v>
      </c>
      <c r="T568" s="100" t="str">
        <f>'HAULING RATES- ODOT Locations'!B179</f>
        <v>2251 Rice Rd. Jackson, OH 45640</v>
      </c>
      <c r="U568" t="str">
        <f>'HAULING RATES- ODOT Locations'!E$8</f>
        <v>Gravel</v>
      </c>
      <c r="V568" s="146">
        <f>'HAULING RATES- ODOT Locations'!E179</f>
        <v>0</v>
      </c>
      <c r="W568" s="131" t="str">
        <f>+'Aggregate, Plant Pick-up'!$C$6</f>
        <v>LAFARGE-MARBLEHEAD "OSBORNE-CLEVELAND"</v>
      </c>
      <c r="X568" s="131" t="str">
        <f>+Plant_Information!$B$10</f>
        <v>04105-28</v>
      </c>
      <c r="Y568" s="131" t="str">
        <f>+Plant_Information!$B$11</f>
        <v>2100 CENTRAL FURNACE ROAD</v>
      </c>
      <c r="Z568" s="131" t="str">
        <f>+Plant_Information!$B$12</f>
        <v>CLEVELAND, OH, 44115</v>
      </c>
      <c r="AA568" s="131" t="str">
        <f>+Plant_Information!$B$13</f>
        <v>12</v>
      </c>
      <c r="AB568" s="131" t="str">
        <f>+Plant_Information!$B$14</f>
        <v>CUY</v>
      </c>
      <c r="AC568" s="70"/>
    </row>
    <row r="569" spans="17:29" x14ac:dyDescent="0.2">
      <c r="Q569" s="100" t="str">
        <f>Plant_Information!$B$6</f>
        <v>(INSERT VENDOR NAME HERE)</v>
      </c>
      <c r="R569" s="100" t="str">
        <f>'HAULING RATES- ODOT Locations'!$A$171</f>
        <v>District 9</v>
      </c>
      <c r="S569" s="100" t="str">
        <f>'HAULING RATES- ODOT Locations'!A180</f>
        <v>Jackson</v>
      </c>
      <c r="T569" s="100" t="str">
        <f>'HAULING RATES- ODOT Locations'!B180</f>
        <v>13366 SR 279, Oak Hill, OH 45656</v>
      </c>
      <c r="U569" t="str">
        <f>'HAULING RATES- ODOT Locations'!E$8</f>
        <v>Gravel</v>
      </c>
      <c r="V569" s="146">
        <f>'HAULING RATES- ODOT Locations'!E180</f>
        <v>0</v>
      </c>
      <c r="W569" s="131" t="str">
        <f>+'Aggregate, Plant Pick-up'!$C$6</f>
        <v>LAFARGE-MARBLEHEAD "OSBORNE-CLEVELAND"</v>
      </c>
      <c r="X569" s="131" t="str">
        <f>+Plant_Information!$B$10</f>
        <v>04105-28</v>
      </c>
      <c r="Y569" s="131" t="str">
        <f>+Plant_Information!$B$11</f>
        <v>2100 CENTRAL FURNACE ROAD</v>
      </c>
      <c r="Z569" s="131" t="str">
        <f>+Plant_Information!$B$12</f>
        <v>CLEVELAND, OH, 44115</v>
      </c>
      <c r="AA569" s="131" t="str">
        <f>+Plant_Information!$B$13</f>
        <v>12</v>
      </c>
      <c r="AB569" s="131" t="str">
        <f>+Plant_Information!$B$14</f>
        <v>CUY</v>
      </c>
      <c r="AC569" s="70"/>
    </row>
    <row r="570" spans="17:29" x14ac:dyDescent="0.2">
      <c r="Q570" s="100" t="str">
        <f>Plant_Information!$B$6</f>
        <v>(INSERT VENDOR NAME HERE)</v>
      </c>
      <c r="R570" s="100" t="str">
        <f>'HAULING RATES- ODOT Locations'!$A$171</f>
        <v>District 9</v>
      </c>
      <c r="S570" s="100" t="str">
        <f>'HAULING RATES- ODOT Locations'!A181</f>
        <v>Lawrence</v>
      </c>
      <c r="T570" s="100" t="str">
        <f>'HAULING RATES- ODOT Locations'!B181</f>
        <v>450 Commerce Drive Ironton, OH 45638</v>
      </c>
      <c r="U570" t="str">
        <f>'HAULING RATES- ODOT Locations'!E$8</f>
        <v>Gravel</v>
      </c>
      <c r="V570" s="146">
        <f>'HAULING RATES- ODOT Locations'!E181</f>
        <v>0</v>
      </c>
      <c r="W570" s="131" t="str">
        <f>+'Aggregate, Plant Pick-up'!$C$6</f>
        <v>LAFARGE-MARBLEHEAD "OSBORNE-CLEVELAND"</v>
      </c>
      <c r="X570" s="131" t="str">
        <f>+Plant_Information!$B$10</f>
        <v>04105-28</v>
      </c>
      <c r="Y570" s="131" t="str">
        <f>+Plant_Information!$B$11</f>
        <v>2100 CENTRAL FURNACE ROAD</v>
      </c>
      <c r="Z570" s="131" t="str">
        <f>+Plant_Information!$B$12</f>
        <v>CLEVELAND, OH, 44115</v>
      </c>
      <c r="AA570" s="131" t="str">
        <f>+Plant_Information!$B$13</f>
        <v>12</v>
      </c>
      <c r="AB570" s="131" t="str">
        <f>+Plant_Information!$B$14</f>
        <v>CUY</v>
      </c>
      <c r="AC570" s="70"/>
    </row>
    <row r="571" spans="17:29" x14ac:dyDescent="0.2">
      <c r="Q571" s="100" t="str">
        <f>Plant_Information!$B$6</f>
        <v>(INSERT VENDOR NAME HERE)</v>
      </c>
      <c r="R571" s="100" t="str">
        <f>'HAULING RATES- ODOT Locations'!$A$171</f>
        <v>District 9</v>
      </c>
      <c r="S571" s="100" t="str">
        <f>'HAULING RATES- ODOT Locations'!A182</f>
        <v>Lawrence</v>
      </c>
      <c r="T571" s="100" t="str">
        <f>'HAULING RATES- ODOT Locations'!B182</f>
        <v>10332 S.R. 775 Proctorville, OH 45669</v>
      </c>
      <c r="U571" t="str">
        <f>'HAULING RATES- ODOT Locations'!E$8</f>
        <v>Gravel</v>
      </c>
      <c r="V571" s="146">
        <f>'HAULING RATES- ODOT Locations'!E182</f>
        <v>0</v>
      </c>
      <c r="W571" s="131" t="str">
        <f>+'Aggregate, Plant Pick-up'!$C$6</f>
        <v>LAFARGE-MARBLEHEAD "OSBORNE-CLEVELAND"</v>
      </c>
      <c r="X571" s="131" t="str">
        <f>+Plant_Information!$B$10</f>
        <v>04105-28</v>
      </c>
      <c r="Y571" s="131" t="str">
        <f>+Plant_Information!$B$11</f>
        <v>2100 CENTRAL FURNACE ROAD</v>
      </c>
      <c r="Z571" s="131" t="str">
        <f>+Plant_Information!$B$12</f>
        <v>CLEVELAND, OH, 44115</v>
      </c>
      <c r="AA571" s="131" t="str">
        <f>+Plant_Information!$B$13</f>
        <v>12</v>
      </c>
      <c r="AB571" s="131" t="str">
        <f>+Plant_Information!$B$14</f>
        <v>CUY</v>
      </c>
      <c r="AC571" s="70"/>
    </row>
    <row r="572" spans="17:29" x14ac:dyDescent="0.2">
      <c r="Q572" s="100" t="str">
        <f>Plant_Information!$B$6</f>
        <v>(INSERT VENDOR NAME HERE)</v>
      </c>
      <c r="R572" s="100" t="str">
        <f>'HAULING RATES- ODOT Locations'!$A$171</f>
        <v>District 9</v>
      </c>
      <c r="S572" s="100" t="str">
        <f>'HAULING RATES- ODOT Locations'!A183</f>
        <v>Lawrence</v>
      </c>
      <c r="T572" s="100" t="str">
        <f>'HAULING RATES- ODOT Locations'!B183</f>
        <v>16979 S.R. 141 Willow Wood, OH 45696</v>
      </c>
      <c r="U572" t="str">
        <f>'HAULING RATES- ODOT Locations'!E$8</f>
        <v>Gravel</v>
      </c>
      <c r="V572" s="146">
        <f>'HAULING RATES- ODOT Locations'!E183</f>
        <v>0</v>
      </c>
      <c r="W572" s="131" t="str">
        <f>+'Aggregate, Plant Pick-up'!$C$6</f>
        <v>LAFARGE-MARBLEHEAD "OSBORNE-CLEVELAND"</v>
      </c>
      <c r="X572" s="131" t="str">
        <f>+Plant_Information!$B$10</f>
        <v>04105-28</v>
      </c>
      <c r="Y572" s="131" t="str">
        <f>+Plant_Information!$B$11</f>
        <v>2100 CENTRAL FURNACE ROAD</v>
      </c>
      <c r="Z572" s="131" t="str">
        <f>+Plant_Information!$B$12</f>
        <v>CLEVELAND, OH, 44115</v>
      </c>
      <c r="AA572" s="131" t="str">
        <f>+Plant_Information!$B$13</f>
        <v>12</v>
      </c>
      <c r="AB572" s="131" t="str">
        <f>+Plant_Information!$B$14</f>
        <v>CUY</v>
      </c>
      <c r="AC572" s="70"/>
    </row>
    <row r="573" spans="17:29" x14ac:dyDescent="0.2">
      <c r="Q573" s="100" t="str">
        <f>Plant_Information!$B$6</f>
        <v>(INSERT VENDOR NAME HERE)</v>
      </c>
      <c r="R573" s="100" t="str">
        <f>'HAULING RATES- ODOT Locations'!$A$171</f>
        <v>District 9</v>
      </c>
      <c r="S573" s="100" t="str">
        <f>'HAULING RATES- ODOT Locations'!A184</f>
        <v>Pike</v>
      </c>
      <c r="T573" s="100" t="str">
        <f>'HAULING RATES- ODOT Locations'!B184</f>
        <v>5591 Wakefield Mound Rd. Piketon, OH 45661</v>
      </c>
      <c r="U573" t="str">
        <f>'HAULING RATES- ODOT Locations'!E$8</f>
        <v>Gravel</v>
      </c>
      <c r="V573" s="146">
        <f>'HAULING RATES- ODOT Locations'!E184</f>
        <v>0</v>
      </c>
      <c r="W573" s="131" t="str">
        <f>+'Aggregate, Plant Pick-up'!$C$6</f>
        <v>LAFARGE-MARBLEHEAD "OSBORNE-CLEVELAND"</v>
      </c>
      <c r="X573" s="131" t="str">
        <f>+Plant_Information!$B$10</f>
        <v>04105-28</v>
      </c>
      <c r="Y573" s="131" t="str">
        <f>+Plant_Information!$B$11</f>
        <v>2100 CENTRAL FURNACE ROAD</v>
      </c>
      <c r="Z573" s="131" t="str">
        <f>+Plant_Information!$B$12</f>
        <v>CLEVELAND, OH, 44115</v>
      </c>
      <c r="AA573" s="131" t="str">
        <f>+Plant_Information!$B$13</f>
        <v>12</v>
      </c>
      <c r="AB573" s="131" t="str">
        <f>+Plant_Information!$B$14</f>
        <v>CUY</v>
      </c>
      <c r="AC573" s="70"/>
    </row>
    <row r="574" spans="17:29" x14ac:dyDescent="0.2">
      <c r="Q574" s="100" t="str">
        <f>Plant_Information!$B$6</f>
        <v>(INSERT VENDOR NAME HERE)</v>
      </c>
      <c r="R574" s="100" t="str">
        <f>'HAULING RATES- ODOT Locations'!$A$171</f>
        <v>District 9</v>
      </c>
      <c r="S574" s="100" t="str">
        <f>'HAULING RATES- ODOT Locations'!A185</f>
        <v>Ross</v>
      </c>
      <c r="T574" s="100" t="str">
        <f>'HAULING RATES- ODOT Locations'!B185</f>
        <v>255 Larrick Lane Chillicothe, OH 45601</v>
      </c>
      <c r="U574" t="str">
        <f>'HAULING RATES- ODOT Locations'!E$8</f>
        <v>Gravel</v>
      </c>
      <c r="V574" s="146">
        <f>'HAULING RATES- ODOT Locations'!E185</f>
        <v>0</v>
      </c>
      <c r="W574" s="131" t="str">
        <f>+'Aggregate, Plant Pick-up'!$C$6</f>
        <v>LAFARGE-MARBLEHEAD "OSBORNE-CLEVELAND"</v>
      </c>
      <c r="X574" s="131" t="str">
        <f>+Plant_Information!$B$10</f>
        <v>04105-28</v>
      </c>
      <c r="Y574" s="131" t="str">
        <f>+Plant_Information!$B$11</f>
        <v>2100 CENTRAL FURNACE ROAD</v>
      </c>
      <c r="Z574" s="131" t="str">
        <f>+Plant_Information!$B$12</f>
        <v>CLEVELAND, OH, 44115</v>
      </c>
      <c r="AA574" s="131" t="str">
        <f>+Plant_Information!$B$13</f>
        <v>12</v>
      </c>
      <c r="AB574" s="131" t="str">
        <f>+Plant_Information!$B$14</f>
        <v>CUY</v>
      </c>
      <c r="AC574" s="70"/>
    </row>
    <row r="575" spans="17:29" x14ac:dyDescent="0.2">
      <c r="Q575" s="100" t="str">
        <f>Plant_Information!$B$6</f>
        <v>(INSERT VENDOR NAME HERE)</v>
      </c>
      <c r="R575" s="100" t="str">
        <f>'HAULING RATES- ODOT Locations'!$A$171</f>
        <v>District 9</v>
      </c>
      <c r="S575" s="100" t="str">
        <f>'HAULING RATES- ODOT Locations'!A186</f>
        <v>Scioto</v>
      </c>
      <c r="T575" s="100" t="str">
        <f>'HAULING RATES- ODOT Locations'!B186</f>
        <v>9187 U.S. 23 Lucasville, OH 45648</v>
      </c>
      <c r="U575" t="str">
        <f>'HAULING RATES- ODOT Locations'!E$8</f>
        <v>Gravel</v>
      </c>
      <c r="V575" s="146">
        <f>'HAULING RATES- ODOT Locations'!E186</f>
        <v>0</v>
      </c>
      <c r="W575" s="131" t="str">
        <f>+'Aggregate, Plant Pick-up'!$C$6</f>
        <v>LAFARGE-MARBLEHEAD "OSBORNE-CLEVELAND"</v>
      </c>
      <c r="X575" s="131" t="str">
        <f>+Plant_Information!$B$10</f>
        <v>04105-28</v>
      </c>
      <c r="Y575" s="131" t="str">
        <f>+Plant_Information!$B$11</f>
        <v>2100 CENTRAL FURNACE ROAD</v>
      </c>
      <c r="Z575" s="131" t="str">
        <f>+Plant_Information!$B$12</f>
        <v>CLEVELAND, OH, 44115</v>
      </c>
      <c r="AA575" s="131" t="str">
        <f>+Plant_Information!$B$13</f>
        <v>12</v>
      </c>
      <c r="AB575" s="131" t="str">
        <f>+Plant_Information!$B$14</f>
        <v>CUY</v>
      </c>
      <c r="AC575" s="70"/>
    </row>
    <row r="576" spans="17:29" x14ac:dyDescent="0.2">
      <c r="Q576" s="100" t="str">
        <f>Plant_Information!$B$6</f>
        <v>(INSERT VENDOR NAME HERE)</v>
      </c>
      <c r="R576" s="100" t="str">
        <f>'HAULING RATES- ODOT Locations'!$A$171</f>
        <v>District 9</v>
      </c>
      <c r="S576" s="100" t="str">
        <f>'HAULING RATES- ODOT Locations'!A187</f>
        <v>Scioto</v>
      </c>
      <c r="T576" s="100" t="str">
        <f>'HAULING RATES- ODOT Locations'!B187</f>
        <v>14 Hayport Rd. Wheelersburg, OH 45694</v>
      </c>
      <c r="U576" t="str">
        <f>'HAULING RATES- ODOT Locations'!E$8</f>
        <v>Gravel</v>
      </c>
      <c r="V576" s="146">
        <f>'HAULING RATES- ODOT Locations'!E187</f>
        <v>0</v>
      </c>
      <c r="W576" s="131" t="str">
        <f>+'Aggregate, Plant Pick-up'!$C$6</f>
        <v>LAFARGE-MARBLEHEAD "OSBORNE-CLEVELAND"</v>
      </c>
      <c r="X576" s="131" t="str">
        <f>+Plant_Information!$B$10</f>
        <v>04105-28</v>
      </c>
      <c r="Y576" s="131" t="str">
        <f>+Plant_Information!$B$11</f>
        <v>2100 CENTRAL FURNACE ROAD</v>
      </c>
      <c r="Z576" s="131" t="str">
        <f>+Plant_Information!$B$12</f>
        <v>CLEVELAND, OH, 44115</v>
      </c>
      <c r="AA576" s="131" t="str">
        <f>+Plant_Information!$B$13</f>
        <v>12</v>
      </c>
      <c r="AB576" s="131" t="str">
        <f>+Plant_Information!$B$14</f>
        <v>CUY</v>
      </c>
      <c r="AC576" s="70"/>
    </row>
    <row r="577" spans="17:29" x14ac:dyDescent="0.2">
      <c r="Q577" s="100" t="str">
        <f>Plant_Information!$B$6</f>
        <v>(INSERT VENDOR NAME HERE)</v>
      </c>
      <c r="R577" s="100" t="str">
        <f>'HAULING RATES- ODOT Locations'!$A$188</f>
        <v>District 10</v>
      </c>
      <c r="S577" s="100" t="str">
        <f>'HAULING RATES- ODOT Locations'!A191</f>
        <v>Athens</v>
      </c>
      <c r="T577" s="100" t="str">
        <f>'HAULING RATES- ODOT Locations'!B191</f>
        <v>700 West Union St. (SR 56), Athens, OH 45701</v>
      </c>
      <c r="U577" t="str">
        <f>'HAULING RATES- ODOT Locations'!E$8</f>
        <v>Gravel</v>
      </c>
      <c r="V577" s="146">
        <f>'HAULING RATES- ODOT Locations'!E191</f>
        <v>0</v>
      </c>
      <c r="W577" s="131" t="str">
        <f>+'Aggregate, Plant Pick-up'!$C$6</f>
        <v>LAFARGE-MARBLEHEAD "OSBORNE-CLEVELAND"</v>
      </c>
      <c r="X577" s="131" t="str">
        <f>+Plant_Information!$B$10</f>
        <v>04105-28</v>
      </c>
      <c r="Y577" s="131" t="str">
        <f>+Plant_Information!$B$11</f>
        <v>2100 CENTRAL FURNACE ROAD</v>
      </c>
      <c r="Z577" s="131" t="str">
        <f>+Plant_Information!$B$12</f>
        <v>CLEVELAND, OH, 44115</v>
      </c>
      <c r="AA577" s="131" t="str">
        <f>+Plant_Information!$B$13</f>
        <v>12</v>
      </c>
      <c r="AB577" s="131" t="str">
        <f>+Plant_Information!$B$14</f>
        <v>CUY</v>
      </c>
      <c r="AC577" s="70"/>
    </row>
    <row r="578" spans="17:29" x14ac:dyDescent="0.2">
      <c r="Q578" s="100" t="str">
        <f>Plant_Information!$B$6</f>
        <v>(INSERT VENDOR NAME HERE)</v>
      </c>
      <c r="R578" s="100" t="str">
        <f>'HAULING RATES- ODOT Locations'!$A$188</f>
        <v>District 10</v>
      </c>
      <c r="S578" s="100" t="str">
        <f>'HAULING RATES- ODOT Locations'!A192</f>
        <v>Athens</v>
      </c>
      <c r="T578" s="100" t="str">
        <f>'HAULING RATES- ODOT Locations'!B192</f>
        <v>8411 State Route 78, Glouster, OH 45732</v>
      </c>
      <c r="U578" t="str">
        <f>'HAULING RATES- ODOT Locations'!E$8</f>
        <v>Gravel</v>
      </c>
      <c r="V578" s="146">
        <f>'HAULING RATES- ODOT Locations'!E192</f>
        <v>0</v>
      </c>
      <c r="W578" s="131" t="str">
        <f>+'Aggregate, Plant Pick-up'!$C$6</f>
        <v>LAFARGE-MARBLEHEAD "OSBORNE-CLEVELAND"</v>
      </c>
      <c r="X578" s="131" t="str">
        <f>+Plant_Information!$B$10</f>
        <v>04105-28</v>
      </c>
      <c r="Y578" s="131" t="str">
        <f>+Plant_Information!$B$11</f>
        <v>2100 CENTRAL FURNACE ROAD</v>
      </c>
      <c r="Z578" s="131" t="str">
        <f>+Plant_Information!$B$12</f>
        <v>CLEVELAND, OH, 44115</v>
      </c>
      <c r="AA578" s="131" t="str">
        <f>+Plant_Information!$B$13</f>
        <v>12</v>
      </c>
      <c r="AB578" s="131" t="str">
        <f>+Plant_Information!$B$14</f>
        <v>CUY</v>
      </c>
      <c r="AC578" s="70"/>
    </row>
    <row r="579" spans="17:29" x14ac:dyDescent="0.2">
      <c r="Q579" s="100" t="str">
        <f>Plant_Information!$B$6</f>
        <v>(INSERT VENDOR NAME HERE)</v>
      </c>
      <c r="R579" s="100" t="str">
        <f>'HAULING RATES- ODOT Locations'!$A$188</f>
        <v>District 10</v>
      </c>
      <c r="S579" s="100" t="str">
        <f>'HAULING RATES- ODOT Locations'!A193</f>
        <v>Gallia</v>
      </c>
      <c r="T579" s="100" t="str">
        <f>'HAULING RATES- ODOT Locations'!B193</f>
        <v>2397 Jackson Pike (Jct. US 35 &amp; SR 160), Bidwell, OH 45614</v>
      </c>
      <c r="U579" t="str">
        <f>'HAULING RATES- ODOT Locations'!E$8</f>
        <v>Gravel</v>
      </c>
      <c r="V579" s="146">
        <f>'HAULING RATES- ODOT Locations'!E193</f>
        <v>0</v>
      </c>
      <c r="W579" s="131" t="str">
        <f>+'Aggregate, Plant Pick-up'!$C$6</f>
        <v>LAFARGE-MARBLEHEAD "OSBORNE-CLEVELAND"</v>
      </c>
      <c r="X579" s="131" t="str">
        <f>+Plant_Information!$B$10</f>
        <v>04105-28</v>
      </c>
      <c r="Y579" s="131" t="str">
        <f>+Plant_Information!$B$11</f>
        <v>2100 CENTRAL FURNACE ROAD</v>
      </c>
      <c r="Z579" s="131" t="str">
        <f>+Plant_Information!$B$12</f>
        <v>CLEVELAND, OH, 44115</v>
      </c>
      <c r="AA579" s="131" t="str">
        <f>+Plant_Information!$B$13</f>
        <v>12</v>
      </c>
      <c r="AB579" s="131" t="str">
        <f>+Plant_Information!$B$14</f>
        <v>CUY</v>
      </c>
      <c r="AC579" s="70"/>
    </row>
    <row r="580" spans="17:29" x14ac:dyDescent="0.2">
      <c r="Q580" s="100" t="str">
        <f>Plant_Information!$B$6</f>
        <v>(INSERT VENDOR NAME HERE)</v>
      </c>
      <c r="R580" s="100" t="str">
        <f>'HAULING RATES- ODOT Locations'!$A$188</f>
        <v>District 10</v>
      </c>
      <c r="S580" s="100" t="str">
        <f>'HAULING RATES- ODOT Locations'!A194</f>
        <v>Hocking</v>
      </c>
      <c r="T580" s="100" t="str">
        <f>'HAULING RATES- ODOT Locations'!B194</f>
        <v>13176 State Route 664 South, Logan, OH 43138</v>
      </c>
      <c r="U580" t="str">
        <f>'HAULING RATES- ODOT Locations'!E$8</f>
        <v>Gravel</v>
      </c>
      <c r="V580" s="146">
        <f>'HAULING RATES- ODOT Locations'!E194</f>
        <v>0</v>
      </c>
      <c r="W580" s="131" t="str">
        <f>+'Aggregate, Plant Pick-up'!$C$6</f>
        <v>LAFARGE-MARBLEHEAD "OSBORNE-CLEVELAND"</v>
      </c>
      <c r="X580" s="131" t="str">
        <f>+Plant_Information!$B$10</f>
        <v>04105-28</v>
      </c>
      <c r="Y580" s="131" t="str">
        <f>+Plant_Information!$B$11</f>
        <v>2100 CENTRAL FURNACE ROAD</v>
      </c>
      <c r="Z580" s="131" t="str">
        <f>+Plant_Information!$B$12</f>
        <v>CLEVELAND, OH, 44115</v>
      </c>
      <c r="AA580" s="131" t="str">
        <f>+Plant_Information!$B$13</f>
        <v>12</v>
      </c>
      <c r="AB580" s="131" t="str">
        <f>+Plant_Information!$B$14</f>
        <v>CUY</v>
      </c>
      <c r="AC580" s="70"/>
    </row>
    <row r="581" spans="17:29" x14ac:dyDescent="0.2">
      <c r="Q581" s="100" t="str">
        <f>Plant_Information!$B$6</f>
        <v>(INSERT VENDOR NAME HERE)</v>
      </c>
      <c r="R581" s="100" t="str">
        <f>'HAULING RATES- ODOT Locations'!$A$188</f>
        <v>District 10</v>
      </c>
      <c r="S581" s="100" t="str">
        <f>'HAULING RATES- ODOT Locations'!A195</f>
        <v>Hocking</v>
      </c>
      <c r="T581" s="100" t="str">
        <f>'HAULING RATES- ODOT Locations'!B195</f>
        <v>Laurelville OP, 16298 Pike Street, Laurelville, OH 43135</v>
      </c>
      <c r="U581" t="str">
        <f>'HAULING RATES- ODOT Locations'!E$8</f>
        <v>Gravel</v>
      </c>
      <c r="V581" s="146">
        <f>'HAULING RATES- ODOT Locations'!E195</f>
        <v>0</v>
      </c>
      <c r="W581" s="131" t="str">
        <f>+'Aggregate, Plant Pick-up'!$C$6</f>
        <v>LAFARGE-MARBLEHEAD "OSBORNE-CLEVELAND"</v>
      </c>
      <c r="X581" s="131" t="str">
        <f>+Plant_Information!$B$10</f>
        <v>04105-28</v>
      </c>
      <c r="Y581" s="131" t="str">
        <f>+Plant_Information!$B$11</f>
        <v>2100 CENTRAL FURNACE ROAD</v>
      </c>
      <c r="Z581" s="131" t="str">
        <f>+Plant_Information!$B$12</f>
        <v>CLEVELAND, OH, 44115</v>
      </c>
      <c r="AA581" s="131" t="str">
        <f>+Plant_Information!$B$13</f>
        <v>12</v>
      </c>
      <c r="AB581" s="131" t="str">
        <f>+Plant_Information!$B$14</f>
        <v>CUY</v>
      </c>
      <c r="AC581" s="70"/>
    </row>
    <row r="582" spans="17:29" x14ac:dyDescent="0.2">
      <c r="Q582" s="100" t="str">
        <f>Plant_Information!$B$6</f>
        <v>(INSERT VENDOR NAME HERE)</v>
      </c>
      <c r="R582" s="100" t="str">
        <f>'HAULING RATES- ODOT Locations'!$A$188</f>
        <v>District 10</v>
      </c>
      <c r="S582" s="100" t="str">
        <f>'HAULING RATES- ODOT Locations'!A196</f>
        <v>Meigs</v>
      </c>
      <c r="T582" s="100" t="str">
        <f>'HAULING RATES- ODOT Locations'!B196</f>
        <v>Tuppers Plains OP, 42875 State Route 7, Coolville, OH 45723</v>
      </c>
      <c r="U582" t="str">
        <f>'HAULING RATES- ODOT Locations'!E$8</f>
        <v>Gravel</v>
      </c>
      <c r="V582" s="146">
        <f>'HAULING RATES- ODOT Locations'!E196</f>
        <v>0</v>
      </c>
      <c r="W582" s="131" t="str">
        <f>+'Aggregate, Plant Pick-up'!$C$6</f>
        <v>LAFARGE-MARBLEHEAD "OSBORNE-CLEVELAND"</v>
      </c>
      <c r="X582" s="131" t="str">
        <f>+Plant_Information!$B$10</f>
        <v>04105-28</v>
      </c>
      <c r="Y582" s="131" t="str">
        <f>+Plant_Information!$B$11</f>
        <v>2100 CENTRAL FURNACE ROAD</v>
      </c>
      <c r="Z582" s="131" t="str">
        <f>+Plant_Information!$B$12</f>
        <v>CLEVELAND, OH, 44115</v>
      </c>
      <c r="AA582" s="131" t="str">
        <f>+Plant_Information!$B$13</f>
        <v>12</v>
      </c>
      <c r="AB582" s="131" t="str">
        <f>+Plant_Information!$B$14</f>
        <v>CUY</v>
      </c>
      <c r="AC582" s="70"/>
    </row>
    <row r="583" spans="17:29" x14ac:dyDescent="0.2">
      <c r="Q583" s="100" t="str">
        <f>Plant_Information!$B$6</f>
        <v>(INSERT VENDOR NAME HERE)</v>
      </c>
      <c r="R583" s="100" t="str">
        <f>'HAULING RATES- ODOT Locations'!$A$188</f>
        <v>District 10</v>
      </c>
      <c r="S583" s="100" t="str">
        <f>'HAULING RATES- ODOT Locations'!A197</f>
        <v>Meigs</v>
      </c>
      <c r="T583" s="100" t="str">
        <f>'HAULING RATES- ODOT Locations'!B197</f>
        <v>34449 SR 7, Pomeroy, OH 45769</v>
      </c>
      <c r="U583" t="str">
        <f>'HAULING RATES- ODOT Locations'!E$8</f>
        <v>Gravel</v>
      </c>
      <c r="V583" s="146">
        <f>'HAULING RATES- ODOT Locations'!E197</f>
        <v>0</v>
      </c>
      <c r="W583" s="131" t="str">
        <f>+'Aggregate, Plant Pick-up'!$C$6</f>
        <v>LAFARGE-MARBLEHEAD "OSBORNE-CLEVELAND"</v>
      </c>
      <c r="X583" s="131" t="str">
        <f>+Plant_Information!$B$10</f>
        <v>04105-28</v>
      </c>
      <c r="Y583" s="131" t="str">
        <f>+Plant_Information!$B$11</f>
        <v>2100 CENTRAL FURNACE ROAD</v>
      </c>
      <c r="Z583" s="131" t="str">
        <f>+Plant_Information!$B$12</f>
        <v>CLEVELAND, OH, 44115</v>
      </c>
      <c r="AA583" s="131" t="str">
        <f>+Plant_Information!$B$13</f>
        <v>12</v>
      </c>
      <c r="AB583" s="131" t="str">
        <f>+Plant_Information!$B$14</f>
        <v>CUY</v>
      </c>
      <c r="AC583" s="70"/>
    </row>
    <row r="584" spans="17:29" x14ac:dyDescent="0.2">
      <c r="Q584" s="100" t="str">
        <f>Plant_Information!$B$6</f>
        <v>(INSERT VENDOR NAME HERE)</v>
      </c>
      <c r="R584" s="100" t="str">
        <f>'HAULING RATES- ODOT Locations'!$A$188</f>
        <v>District 10</v>
      </c>
      <c r="S584" s="100" t="str">
        <f>'HAULING RATES- ODOT Locations'!A198</f>
        <v>Monroe</v>
      </c>
      <c r="T584" s="100" t="str">
        <f>'HAULING RATES- ODOT Locations'!B198</f>
        <v>38986 State Route 7, Sardis, OH 43946</v>
      </c>
      <c r="U584" t="str">
        <f>'HAULING RATES- ODOT Locations'!E$8</f>
        <v>Gravel</v>
      </c>
      <c r="V584" s="146">
        <f>'HAULING RATES- ODOT Locations'!E198</f>
        <v>0</v>
      </c>
      <c r="W584" s="131" t="str">
        <f>+'Aggregate, Plant Pick-up'!$C$6</f>
        <v>LAFARGE-MARBLEHEAD "OSBORNE-CLEVELAND"</v>
      </c>
      <c r="X584" s="131" t="str">
        <f>+Plant_Information!$B$10</f>
        <v>04105-28</v>
      </c>
      <c r="Y584" s="131" t="str">
        <f>+Plant_Information!$B$11</f>
        <v>2100 CENTRAL FURNACE ROAD</v>
      </c>
      <c r="Z584" s="131" t="str">
        <f>+Plant_Information!$B$12</f>
        <v>CLEVELAND, OH, 44115</v>
      </c>
      <c r="AA584" s="131" t="str">
        <f>+Plant_Information!$B$13</f>
        <v>12</v>
      </c>
      <c r="AB584" s="131" t="str">
        <f>+Plant_Information!$B$14</f>
        <v>CUY</v>
      </c>
      <c r="AC584" s="70"/>
    </row>
    <row r="585" spans="17:29" x14ac:dyDescent="0.2">
      <c r="Q585" s="100" t="str">
        <f>Plant_Information!$B$6</f>
        <v>(INSERT VENDOR NAME HERE)</v>
      </c>
      <c r="R585" s="100" t="str">
        <f>'HAULING RATES- ODOT Locations'!$A$188</f>
        <v>District 10</v>
      </c>
      <c r="S585" s="100" t="str">
        <f>'HAULING RATES- ODOT Locations'!A199</f>
        <v>Monroe</v>
      </c>
      <c r="T585" s="100" t="str">
        <f>'HAULING RATES- ODOT Locations'!B199</f>
        <v>47028 SR 26, Woodsfield, OH 43793</v>
      </c>
      <c r="U585" t="str">
        <f>'HAULING RATES- ODOT Locations'!E$8</f>
        <v>Gravel</v>
      </c>
      <c r="V585" s="146">
        <f>'HAULING RATES- ODOT Locations'!E199</f>
        <v>0</v>
      </c>
      <c r="W585" s="131" t="str">
        <f>+'Aggregate, Plant Pick-up'!$C$6</f>
        <v>LAFARGE-MARBLEHEAD "OSBORNE-CLEVELAND"</v>
      </c>
      <c r="X585" s="131" t="str">
        <f>+Plant_Information!$B$10</f>
        <v>04105-28</v>
      </c>
      <c r="Y585" s="131" t="str">
        <f>+Plant_Information!$B$11</f>
        <v>2100 CENTRAL FURNACE ROAD</v>
      </c>
      <c r="Z585" s="131" t="str">
        <f>+Plant_Information!$B$12</f>
        <v>CLEVELAND, OH, 44115</v>
      </c>
      <c r="AA585" s="131" t="str">
        <f>+Plant_Information!$B$13</f>
        <v>12</v>
      </c>
      <c r="AB585" s="131" t="str">
        <f>+Plant_Information!$B$14</f>
        <v>CUY</v>
      </c>
      <c r="AC585" s="70"/>
    </row>
    <row r="586" spans="17:29" x14ac:dyDescent="0.2">
      <c r="Q586" s="100" t="str">
        <f>Plant_Information!$B$6</f>
        <v>(INSERT VENDOR NAME HERE)</v>
      </c>
      <c r="R586" s="100" t="str">
        <f>'HAULING RATES- ODOT Locations'!$A$188</f>
        <v>District 10</v>
      </c>
      <c r="S586" s="100" t="str">
        <f>'HAULING RATES- ODOT Locations'!A200</f>
        <v>Morgan</v>
      </c>
      <c r="T586" s="100" t="str">
        <f>'HAULING RATES- ODOT Locations'!B200</f>
        <v>4205 Monastery Rd., McConnelsville, OH 43756</v>
      </c>
      <c r="U586" t="str">
        <f>'HAULING RATES- ODOT Locations'!E$8</f>
        <v>Gravel</v>
      </c>
      <c r="V586" s="146">
        <f>'HAULING RATES- ODOT Locations'!E200</f>
        <v>0</v>
      </c>
      <c r="W586" s="131" t="str">
        <f>+'Aggregate, Plant Pick-up'!$C$6</f>
        <v>LAFARGE-MARBLEHEAD "OSBORNE-CLEVELAND"</v>
      </c>
      <c r="X586" s="131" t="str">
        <f>+Plant_Information!$B$10</f>
        <v>04105-28</v>
      </c>
      <c r="Y586" s="131" t="str">
        <f>+Plant_Information!$B$11</f>
        <v>2100 CENTRAL FURNACE ROAD</v>
      </c>
      <c r="Z586" s="131" t="str">
        <f>+Plant_Information!$B$12</f>
        <v>CLEVELAND, OH, 44115</v>
      </c>
      <c r="AA586" s="131" t="str">
        <f>+Plant_Information!$B$13</f>
        <v>12</v>
      </c>
      <c r="AB586" s="131" t="str">
        <f>+Plant_Information!$B$14</f>
        <v>CUY</v>
      </c>
      <c r="AC586" s="70"/>
    </row>
    <row r="587" spans="17:29" x14ac:dyDescent="0.2">
      <c r="Q587" s="100" t="str">
        <f>Plant_Information!$B$6</f>
        <v>(INSERT VENDOR NAME HERE)</v>
      </c>
      <c r="R587" s="100" t="str">
        <f>'HAULING RATES- ODOT Locations'!$A$188</f>
        <v>District 10</v>
      </c>
      <c r="S587" s="100" t="str">
        <f>'HAULING RATES- ODOT Locations'!A201</f>
        <v>Noble</v>
      </c>
      <c r="T587" s="100" t="str">
        <f>'HAULING RATES- ODOT Locations'!B201</f>
        <v>17229 Hunkadora Road, Caldwell, OH 43724</v>
      </c>
      <c r="U587" t="str">
        <f>'HAULING RATES- ODOT Locations'!E$8</f>
        <v>Gravel</v>
      </c>
      <c r="V587" s="146">
        <f>'HAULING RATES- ODOT Locations'!E201</f>
        <v>0</v>
      </c>
      <c r="W587" s="131" t="str">
        <f>+'Aggregate, Plant Pick-up'!$C$6</f>
        <v>LAFARGE-MARBLEHEAD "OSBORNE-CLEVELAND"</v>
      </c>
      <c r="X587" s="131" t="str">
        <f>+Plant_Information!$B$10</f>
        <v>04105-28</v>
      </c>
      <c r="Y587" s="131" t="str">
        <f>+Plant_Information!$B$11</f>
        <v>2100 CENTRAL FURNACE ROAD</v>
      </c>
      <c r="Z587" s="131" t="str">
        <f>+Plant_Information!$B$12</f>
        <v>CLEVELAND, OH, 44115</v>
      </c>
      <c r="AA587" s="131" t="str">
        <f>+Plant_Information!$B$13</f>
        <v>12</v>
      </c>
      <c r="AB587" s="131" t="str">
        <f>+Plant_Information!$B$14</f>
        <v>CUY</v>
      </c>
      <c r="AC587" s="70"/>
    </row>
    <row r="588" spans="17:29" x14ac:dyDescent="0.2">
      <c r="Q588" s="100" t="str">
        <f>Plant_Information!$B$6</f>
        <v>(INSERT VENDOR NAME HERE)</v>
      </c>
      <c r="R588" s="100" t="str">
        <f>'HAULING RATES- ODOT Locations'!$A$188</f>
        <v>District 10</v>
      </c>
      <c r="S588" s="100" t="str">
        <f>'HAULING RATES- ODOT Locations'!A202</f>
        <v>Noble</v>
      </c>
      <c r="T588" s="100" t="str">
        <f>'HAULING RATES- ODOT Locations'!B202</f>
        <v>48030 Outpost Road, Caldwell, OH 43724</v>
      </c>
      <c r="U588" t="str">
        <f>'HAULING RATES- ODOT Locations'!E$8</f>
        <v>Gravel</v>
      </c>
      <c r="V588" s="146">
        <f>'HAULING RATES- ODOT Locations'!E202</f>
        <v>0</v>
      </c>
      <c r="W588" s="131" t="str">
        <f>+'Aggregate, Plant Pick-up'!$C$6</f>
        <v>LAFARGE-MARBLEHEAD "OSBORNE-CLEVELAND"</v>
      </c>
      <c r="X588" s="131" t="str">
        <f>+Plant_Information!$B$10</f>
        <v>04105-28</v>
      </c>
      <c r="Y588" s="131" t="str">
        <f>+Plant_Information!$B$11</f>
        <v>2100 CENTRAL FURNACE ROAD</v>
      </c>
      <c r="Z588" s="131" t="str">
        <f>+Plant_Information!$B$12</f>
        <v>CLEVELAND, OH, 44115</v>
      </c>
      <c r="AA588" s="131" t="str">
        <f>+Plant_Information!$B$13</f>
        <v>12</v>
      </c>
      <c r="AB588" s="131" t="str">
        <f>+Plant_Information!$B$14</f>
        <v>CUY</v>
      </c>
      <c r="AC588" s="70"/>
    </row>
    <row r="589" spans="17:29" x14ac:dyDescent="0.2">
      <c r="Q589" s="100" t="str">
        <f>Plant_Information!$B$6</f>
        <v>(INSERT VENDOR NAME HERE)</v>
      </c>
      <c r="R589" s="100" t="str">
        <f>'HAULING RATES- ODOT Locations'!$A$188</f>
        <v>District 10</v>
      </c>
      <c r="S589" s="100" t="str">
        <f>'HAULING RATES- ODOT Locations'!A203</f>
        <v>Vinton</v>
      </c>
      <c r="T589" s="100" t="str">
        <f>'HAULING RATES- ODOT Locations'!B203</f>
        <v>30931 State Route 93, McArthur, OH 45651</v>
      </c>
      <c r="U589" t="str">
        <f>'HAULING RATES- ODOT Locations'!E$8</f>
        <v>Gravel</v>
      </c>
      <c r="V589" s="146">
        <f>'HAULING RATES- ODOT Locations'!E203</f>
        <v>0</v>
      </c>
      <c r="W589" s="131" t="str">
        <f>+'Aggregate, Plant Pick-up'!$C$6</f>
        <v>LAFARGE-MARBLEHEAD "OSBORNE-CLEVELAND"</v>
      </c>
      <c r="X589" s="131" t="str">
        <f>+Plant_Information!$B$10</f>
        <v>04105-28</v>
      </c>
      <c r="Y589" s="131" t="str">
        <f>+Plant_Information!$B$11</f>
        <v>2100 CENTRAL FURNACE ROAD</v>
      </c>
      <c r="Z589" s="131" t="str">
        <f>+Plant_Information!$B$12</f>
        <v>CLEVELAND, OH, 44115</v>
      </c>
      <c r="AA589" s="131" t="str">
        <f>+Plant_Information!$B$13</f>
        <v>12</v>
      </c>
      <c r="AB589" s="131" t="str">
        <f>+Plant_Information!$B$14</f>
        <v>CUY</v>
      </c>
      <c r="AC589" s="70"/>
    </row>
    <row r="590" spans="17:29" x14ac:dyDescent="0.2">
      <c r="Q590" s="100" t="str">
        <f>Plant_Information!$B$6</f>
        <v>(INSERT VENDOR NAME HERE)</v>
      </c>
      <c r="R590" s="100" t="str">
        <f>'HAULING RATES- ODOT Locations'!$A$188</f>
        <v>District 10</v>
      </c>
      <c r="S590" s="100" t="str">
        <f>'HAULING RATES- ODOT Locations'!A204</f>
        <v>Vinton</v>
      </c>
      <c r="T590" s="100" t="str">
        <f>'HAULING RATES- ODOT Locations'!B204</f>
        <v>43140 State Route 160, Wilkesville, OH 45695</v>
      </c>
      <c r="U590" t="str">
        <f>'HAULING RATES- ODOT Locations'!E$8</f>
        <v>Gravel</v>
      </c>
      <c r="V590" s="146">
        <f>'HAULING RATES- ODOT Locations'!E204</f>
        <v>0</v>
      </c>
      <c r="W590" s="131" t="str">
        <f>+'Aggregate, Plant Pick-up'!$C$6</f>
        <v>LAFARGE-MARBLEHEAD "OSBORNE-CLEVELAND"</v>
      </c>
      <c r="X590" s="131" t="str">
        <f>+Plant_Information!$B$10</f>
        <v>04105-28</v>
      </c>
      <c r="Y590" s="131" t="str">
        <f>+Plant_Information!$B$11</f>
        <v>2100 CENTRAL FURNACE ROAD</v>
      </c>
      <c r="Z590" s="131" t="str">
        <f>+Plant_Information!$B$12</f>
        <v>CLEVELAND, OH, 44115</v>
      </c>
      <c r="AA590" s="131" t="str">
        <f>+Plant_Information!$B$13</f>
        <v>12</v>
      </c>
      <c r="AB590" s="131" t="str">
        <f>+Plant_Information!$B$14</f>
        <v>CUY</v>
      </c>
      <c r="AC590" s="70"/>
    </row>
    <row r="591" spans="17:29" x14ac:dyDescent="0.2">
      <c r="Q591" s="100" t="str">
        <f>Plant_Information!$B$6</f>
        <v>(INSERT VENDOR NAME HERE)</v>
      </c>
      <c r="R591" s="100" t="str">
        <f>'HAULING RATES- ODOT Locations'!$A$188</f>
        <v>District 10</v>
      </c>
      <c r="S591" s="100" t="str">
        <f>'HAULING RATES- ODOT Locations'!A205</f>
        <v>Washington</v>
      </c>
      <c r="T591" s="100" t="str">
        <f>'HAULING RATES- ODOT Locations'!B205</f>
        <v>1650 Greene St. (SR 26), Marietta, OH 45750</v>
      </c>
      <c r="U591" t="str">
        <f>'HAULING RATES- ODOT Locations'!E$8</f>
        <v>Gravel</v>
      </c>
      <c r="V591" s="146">
        <f>'HAULING RATES- ODOT Locations'!E205</f>
        <v>0</v>
      </c>
      <c r="W591" s="131" t="str">
        <f>+'Aggregate, Plant Pick-up'!$C$6</f>
        <v>LAFARGE-MARBLEHEAD "OSBORNE-CLEVELAND"</v>
      </c>
      <c r="X591" s="131" t="str">
        <f>+Plant_Information!$B$10</f>
        <v>04105-28</v>
      </c>
      <c r="Y591" s="131" t="str">
        <f>+Plant_Information!$B$11</f>
        <v>2100 CENTRAL FURNACE ROAD</v>
      </c>
      <c r="Z591" s="131" t="str">
        <f>+Plant_Information!$B$12</f>
        <v>CLEVELAND, OH, 44115</v>
      </c>
      <c r="AA591" s="131" t="str">
        <f>+Plant_Information!$B$13</f>
        <v>12</v>
      </c>
      <c r="AB591" s="131" t="str">
        <f>+Plant_Information!$B$14</f>
        <v>CUY</v>
      </c>
      <c r="AC591" s="70"/>
    </row>
    <row r="592" spans="17:29" x14ac:dyDescent="0.2">
      <c r="Q592" s="100" t="str">
        <f>Plant_Information!$B$6</f>
        <v>(INSERT VENDOR NAME HERE)</v>
      </c>
      <c r="R592" s="100" t="str">
        <f>'HAULING RATES- ODOT Locations'!$A$188</f>
        <v>District 10</v>
      </c>
      <c r="S592" s="100" t="str">
        <f>'HAULING RATES- ODOT Locations'!A206</f>
        <v>Washington</v>
      </c>
      <c r="T592" s="100" t="str">
        <f>'HAULING RATES- ODOT Locations'!B206</f>
        <v>2504 SR 550, Cutler, OH 45724</v>
      </c>
      <c r="U592" t="str">
        <f>'HAULING RATES- ODOT Locations'!E$8</f>
        <v>Gravel</v>
      </c>
      <c r="V592" s="146">
        <f>'HAULING RATES- ODOT Locations'!E206</f>
        <v>0</v>
      </c>
      <c r="W592" s="131" t="str">
        <f>+'Aggregate, Plant Pick-up'!$C$6</f>
        <v>LAFARGE-MARBLEHEAD "OSBORNE-CLEVELAND"</v>
      </c>
      <c r="X592" s="131" t="str">
        <f>+Plant_Information!$B$10</f>
        <v>04105-28</v>
      </c>
      <c r="Y592" s="131" t="str">
        <f>+Plant_Information!$B$11</f>
        <v>2100 CENTRAL FURNACE ROAD</v>
      </c>
      <c r="Z592" s="131" t="str">
        <f>+Plant_Information!$B$12</f>
        <v>CLEVELAND, OH, 44115</v>
      </c>
      <c r="AA592" s="131" t="str">
        <f>+Plant_Information!$B$13</f>
        <v>12</v>
      </c>
      <c r="AB592" s="131" t="str">
        <f>+Plant_Information!$B$14</f>
        <v>CUY</v>
      </c>
      <c r="AC592" s="70"/>
    </row>
    <row r="593" spans="17:29" x14ac:dyDescent="0.2">
      <c r="Q593" s="100" t="str">
        <f>Plant_Information!$B$6</f>
        <v>(INSERT VENDOR NAME HERE)</v>
      </c>
      <c r="R593" s="100" t="str">
        <f>'HAULING RATES- ODOT Locations'!$A$188</f>
        <v>District 10</v>
      </c>
      <c r="S593" s="100" t="str">
        <f>'HAULING RATES- ODOT Locations'!A207</f>
        <v>Washington</v>
      </c>
      <c r="T593" s="100" t="str">
        <f>'HAULING RATES- ODOT Locations'!B207</f>
        <v>Belpre OP, 399 SR 618, Belpre, OH 45714</v>
      </c>
      <c r="U593" t="str">
        <f>'HAULING RATES- ODOT Locations'!E$8</f>
        <v>Gravel</v>
      </c>
      <c r="V593" s="146">
        <f>'HAULING RATES- ODOT Locations'!E207</f>
        <v>0</v>
      </c>
      <c r="W593" s="131" t="str">
        <f>+'Aggregate, Plant Pick-up'!$C$6</f>
        <v>LAFARGE-MARBLEHEAD "OSBORNE-CLEVELAND"</v>
      </c>
      <c r="X593" s="131" t="str">
        <f>+Plant_Information!$B$10</f>
        <v>04105-28</v>
      </c>
      <c r="Y593" s="131" t="str">
        <f>+Plant_Information!$B$11</f>
        <v>2100 CENTRAL FURNACE ROAD</v>
      </c>
      <c r="Z593" s="131" t="str">
        <f>+Plant_Information!$B$12</f>
        <v>CLEVELAND, OH, 44115</v>
      </c>
      <c r="AA593" s="131" t="str">
        <f>+Plant_Information!$B$13</f>
        <v>12</v>
      </c>
      <c r="AB593" s="131" t="str">
        <f>+Plant_Information!$B$14</f>
        <v>CUY</v>
      </c>
      <c r="AC593" s="70"/>
    </row>
    <row r="594" spans="17:29" x14ac:dyDescent="0.2">
      <c r="Q594" s="100" t="str">
        <f>Plant_Information!$B$6</f>
        <v>(INSERT VENDOR NAME HERE)</v>
      </c>
      <c r="R594" s="100" t="str">
        <f>'HAULING RATES- ODOT Locations'!$A$188</f>
        <v>District 10</v>
      </c>
      <c r="S594" s="100" t="str">
        <f>'HAULING RATES- ODOT Locations'!A208</f>
        <v>Washington</v>
      </c>
      <c r="T594" s="100" t="str">
        <f>'HAULING RATES- ODOT Locations'!B208</f>
        <v>20255 State Route 821, Dexter City, OH 45727</v>
      </c>
      <c r="U594" t="str">
        <f>'HAULING RATES- ODOT Locations'!E$8</f>
        <v>Gravel</v>
      </c>
      <c r="V594" s="146">
        <f>'HAULING RATES- ODOT Locations'!E208</f>
        <v>0</v>
      </c>
      <c r="W594" s="131" t="str">
        <f>+'Aggregate, Plant Pick-up'!$C$6</f>
        <v>LAFARGE-MARBLEHEAD "OSBORNE-CLEVELAND"</v>
      </c>
      <c r="X594" s="131" t="str">
        <f>+Plant_Information!$B$10</f>
        <v>04105-28</v>
      </c>
      <c r="Y594" s="131" t="str">
        <f>+Plant_Information!$B$11</f>
        <v>2100 CENTRAL FURNACE ROAD</v>
      </c>
      <c r="Z594" s="131" t="str">
        <f>+Plant_Information!$B$12</f>
        <v>CLEVELAND, OH, 44115</v>
      </c>
      <c r="AA594" s="131" t="str">
        <f>+Plant_Information!$B$13</f>
        <v>12</v>
      </c>
      <c r="AB594" s="131" t="str">
        <f>+Plant_Information!$B$14</f>
        <v>CUY</v>
      </c>
      <c r="AC594" s="70"/>
    </row>
    <row r="595" spans="17:29" x14ac:dyDescent="0.2">
      <c r="Q595" s="100" t="str">
        <f>Plant_Information!$B$6</f>
        <v>(INSERT VENDOR NAME HERE)</v>
      </c>
      <c r="R595" s="100" t="str">
        <f>'HAULING RATES- ODOT Locations'!$A$209</f>
        <v>District 11</v>
      </c>
      <c r="S595" s="100" t="str">
        <f>'HAULING RATES- ODOT Locations'!A212</f>
        <v>Belmont</v>
      </c>
      <c r="T595" s="100" t="str">
        <f>'HAULING RATES- ODOT Locations'!B212</f>
        <v>41061 Bond Dr., Belmont, OH 43718</v>
      </c>
      <c r="U595" t="str">
        <f>'HAULING RATES- ODOT Locations'!E$8</f>
        <v>Gravel</v>
      </c>
      <c r="V595" s="146">
        <f>'HAULING RATES- ODOT Locations'!E212</f>
        <v>0</v>
      </c>
      <c r="W595" s="131" t="str">
        <f>+'Aggregate, Plant Pick-up'!$C$6</f>
        <v>LAFARGE-MARBLEHEAD "OSBORNE-CLEVELAND"</v>
      </c>
      <c r="X595" s="131" t="str">
        <f>+Plant_Information!$B$10</f>
        <v>04105-28</v>
      </c>
      <c r="Y595" s="131" t="str">
        <f>+Plant_Information!$B$11</f>
        <v>2100 CENTRAL FURNACE ROAD</v>
      </c>
      <c r="Z595" s="131" t="str">
        <f>+Plant_Information!$B$12</f>
        <v>CLEVELAND, OH, 44115</v>
      </c>
      <c r="AA595" s="131" t="str">
        <f>+Plant_Information!$B$13</f>
        <v>12</v>
      </c>
      <c r="AB595" s="131" t="str">
        <f>+Plant_Information!$B$14</f>
        <v>CUY</v>
      </c>
      <c r="AC595" s="70"/>
    </row>
    <row r="596" spans="17:29" x14ac:dyDescent="0.2">
      <c r="Q596" s="100" t="str">
        <f>Plant_Information!$B$6</f>
        <v>(INSERT VENDOR NAME HERE)</v>
      </c>
      <c r="R596" s="100" t="str">
        <f>'HAULING RATES- ODOT Locations'!$A$209</f>
        <v>District 11</v>
      </c>
      <c r="S596" s="100" t="str">
        <f>'HAULING RATES- ODOT Locations'!A213</f>
        <v>Belmont</v>
      </c>
      <c r="T596" s="100" t="str">
        <f>'HAULING RATES- ODOT Locations'!B213</f>
        <v>49226 Wabash Ave., St. Clairsville, OH 43950</v>
      </c>
      <c r="U596" t="str">
        <f>'HAULING RATES- ODOT Locations'!E$8</f>
        <v>Gravel</v>
      </c>
      <c r="V596" s="146">
        <f>'HAULING RATES- ODOT Locations'!E213</f>
        <v>0</v>
      </c>
      <c r="W596" s="131" t="str">
        <f>+'Aggregate, Plant Pick-up'!$C$6</f>
        <v>LAFARGE-MARBLEHEAD "OSBORNE-CLEVELAND"</v>
      </c>
      <c r="X596" s="131" t="str">
        <f>+Plant_Information!$B$10</f>
        <v>04105-28</v>
      </c>
      <c r="Y596" s="131" t="str">
        <f>+Plant_Information!$B$11</f>
        <v>2100 CENTRAL FURNACE ROAD</v>
      </c>
      <c r="Z596" s="131" t="str">
        <f>+Plant_Information!$B$12</f>
        <v>CLEVELAND, OH, 44115</v>
      </c>
      <c r="AA596" s="131" t="str">
        <f>+Plant_Information!$B$13</f>
        <v>12</v>
      </c>
      <c r="AB596" s="131" t="str">
        <f>+Plant_Information!$B$14</f>
        <v>CUY</v>
      </c>
      <c r="AC596" s="70"/>
    </row>
    <row r="597" spans="17:29" x14ac:dyDescent="0.2">
      <c r="Q597" s="100" t="str">
        <f>Plant_Information!$B$6</f>
        <v>(INSERT VENDOR NAME HERE)</v>
      </c>
      <c r="R597" s="100" t="str">
        <f>'HAULING RATES- ODOT Locations'!$A$209</f>
        <v>District 11</v>
      </c>
      <c r="S597" s="100" t="str">
        <f>'HAULING RATES- ODOT Locations'!A214</f>
        <v>Belmont</v>
      </c>
      <c r="T597" s="100" t="str">
        <f>'HAULING RATES- ODOT Locations'!B214</f>
        <v>36340 W. Captina Hwy., Barnesville, OH 43713</v>
      </c>
      <c r="U597" t="str">
        <f>'HAULING RATES- ODOT Locations'!E$8</f>
        <v>Gravel</v>
      </c>
      <c r="V597" s="146">
        <f>'HAULING RATES- ODOT Locations'!E214</f>
        <v>0</v>
      </c>
      <c r="W597" s="131" t="str">
        <f>+'Aggregate, Plant Pick-up'!$C$6</f>
        <v>LAFARGE-MARBLEHEAD "OSBORNE-CLEVELAND"</v>
      </c>
      <c r="X597" s="131" t="str">
        <f>+Plant_Information!$B$10</f>
        <v>04105-28</v>
      </c>
      <c r="Y597" s="131" t="str">
        <f>+Plant_Information!$B$11</f>
        <v>2100 CENTRAL FURNACE ROAD</v>
      </c>
      <c r="Z597" s="131" t="str">
        <f>+Plant_Information!$B$12</f>
        <v>CLEVELAND, OH, 44115</v>
      </c>
      <c r="AA597" s="131" t="str">
        <f>+Plant_Information!$B$13</f>
        <v>12</v>
      </c>
      <c r="AB597" s="131" t="str">
        <f>+Plant_Information!$B$14</f>
        <v>CUY</v>
      </c>
      <c r="AC597" s="70"/>
    </row>
    <row r="598" spans="17:29" x14ac:dyDescent="0.2">
      <c r="Q598" s="100" t="str">
        <f>Plant_Information!$B$6</f>
        <v>(INSERT VENDOR NAME HERE)</v>
      </c>
      <c r="R598" s="100" t="str">
        <f>'HAULING RATES- ODOT Locations'!$A$209</f>
        <v>District 11</v>
      </c>
      <c r="S598" s="100" t="str">
        <f>'HAULING RATES- ODOT Locations'!A215</f>
        <v>Belmont</v>
      </c>
      <c r="T598" s="100" t="str">
        <f>'HAULING RATES- ODOT Locations'!B215</f>
        <v>56880 McGee Rd., Shadyside, OH 43947</v>
      </c>
      <c r="U598" t="str">
        <f>'HAULING RATES- ODOT Locations'!E$8</f>
        <v>Gravel</v>
      </c>
      <c r="V598" s="146">
        <f>'HAULING RATES- ODOT Locations'!E215</f>
        <v>0</v>
      </c>
      <c r="W598" s="131" t="str">
        <f>+'Aggregate, Plant Pick-up'!$C$6</f>
        <v>LAFARGE-MARBLEHEAD "OSBORNE-CLEVELAND"</v>
      </c>
      <c r="X598" s="131" t="str">
        <f>+Plant_Information!$B$10</f>
        <v>04105-28</v>
      </c>
      <c r="Y598" s="131" t="str">
        <f>+Plant_Information!$B$11</f>
        <v>2100 CENTRAL FURNACE ROAD</v>
      </c>
      <c r="Z598" s="131" t="str">
        <f>+Plant_Information!$B$12</f>
        <v>CLEVELAND, OH, 44115</v>
      </c>
      <c r="AA598" s="131" t="str">
        <f>+Plant_Information!$B$13</f>
        <v>12</v>
      </c>
      <c r="AB598" s="131" t="str">
        <f>+Plant_Information!$B$14</f>
        <v>CUY</v>
      </c>
      <c r="AC598" s="70"/>
    </row>
    <row r="599" spans="17:29" x14ac:dyDescent="0.2">
      <c r="Q599" s="100" t="str">
        <f>Plant_Information!$B$6</f>
        <v>(INSERT VENDOR NAME HERE)</v>
      </c>
      <c r="R599" s="100" t="str">
        <f>'HAULING RATES- ODOT Locations'!$A$209</f>
        <v>District 11</v>
      </c>
      <c r="S599" s="100" t="str">
        <f>'HAULING RATES- ODOT Locations'!A216</f>
        <v>Carroll</v>
      </c>
      <c r="T599" s="100" t="str">
        <f>'HAULING RATES- ODOT Locations'!B216</f>
        <v>258 Kensington Rd., Carrollton, OH 44615</v>
      </c>
      <c r="U599" t="str">
        <f>'HAULING RATES- ODOT Locations'!E$8</f>
        <v>Gravel</v>
      </c>
      <c r="V599" s="146">
        <f>'HAULING RATES- ODOT Locations'!E216</f>
        <v>0</v>
      </c>
      <c r="W599" s="131" t="str">
        <f>+'Aggregate, Plant Pick-up'!$C$6</f>
        <v>LAFARGE-MARBLEHEAD "OSBORNE-CLEVELAND"</v>
      </c>
      <c r="X599" s="131" t="str">
        <f>+Plant_Information!$B$10</f>
        <v>04105-28</v>
      </c>
      <c r="Y599" s="131" t="str">
        <f>+Plant_Information!$B$11</f>
        <v>2100 CENTRAL FURNACE ROAD</v>
      </c>
      <c r="Z599" s="131" t="str">
        <f>+Plant_Information!$B$12</f>
        <v>CLEVELAND, OH, 44115</v>
      </c>
      <c r="AA599" s="131" t="str">
        <f>+Plant_Information!$B$13</f>
        <v>12</v>
      </c>
      <c r="AB599" s="131" t="str">
        <f>+Plant_Information!$B$14</f>
        <v>CUY</v>
      </c>
      <c r="AC599" s="70"/>
    </row>
    <row r="600" spans="17:29" x14ac:dyDescent="0.2">
      <c r="Q600" s="100" t="str">
        <f>Plant_Information!$B$6</f>
        <v>(INSERT VENDOR NAME HERE)</v>
      </c>
      <c r="R600" s="100" t="str">
        <f>'HAULING RATES- ODOT Locations'!$A$209</f>
        <v>District 11</v>
      </c>
      <c r="S600" s="100" t="str">
        <f>'HAULING RATES- ODOT Locations'!A217</f>
        <v>Columbiana</v>
      </c>
      <c r="T600" s="100" t="str">
        <f>'HAULING RATES- ODOT Locations'!B217</f>
        <v>33606 US 30, Lisbon, OH 44432</v>
      </c>
      <c r="U600" t="str">
        <f>'HAULING RATES- ODOT Locations'!E$8</f>
        <v>Gravel</v>
      </c>
      <c r="V600" s="146">
        <f>'HAULING RATES- ODOT Locations'!E217</f>
        <v>0</v>
      </c>
      <c r="W600" s="131" t="str">
        <f>+'Aggregate, Plant Pick-up'!$C$6</f>
        <v>LAFARGE-MARBLEHEAD "OSBORNE-CLEVELAND"</v>
      </c>
      <c r="X600" s="131" t="str">
        <f>+Plant_Information!$B$10</f>
        <v>04105-28</v>
      </c>
      <c r="Y600" s="131" t="str">
        <f>+Plant_Information!$B$11</f>
        <v>2100 CENTRAL FURNACE ROAD</v>
      </c>
      <c r="Z600" s="131" t="str">
        <f>+Plant_Information!$B$12</f>
        <v>CLEVELAND, OH, 44115</v>
      </c>
      <c r="AA600" s="131" t="str">
        <f>+Plant_Information!$B$13</f>
        <v>12</v>
      </c>
      <c r="AB600" s="131" t="str">
        <f>+Plant_Information!$B$14</f>
        <v>CUY</v>
      </c>
      <c r="AC600" s="70"/>
    </row>
    <row r="601" spans="17:29" x14ac:dyDescent="0.2">
      <c r="Q601" s="100" t="str">
        <f>Plant_Information!$B$6</f>
        <v>(INSERT VENDOR NAME HERE)</v>
      </c>
      <c r="R601" s="100" t="str">
        <f>'HAULING RATES- ODOT Locations'!$A$209</f>
        <v>District 11</v>
      </c>
      <c r="S601" s="100" t="str">
        <f>'HAULING RATES- ODOT Locations'!A218</f>
        <v>Columbiana</v>
      </c>
      <c r="T601" s="100" t="str">
        <f>'HAULING RATES- ODOT Locations'!B218</f>
        <v>Apples Corners OP, 14745 Old Lincoln Hwy.,  East Liverpool, OH 43920</v>
      </c>
      <c r="U601" t="str">
        <f>'HAULING RATES- ODOT Locations'!E$8</f>
        <v>Gravel</v>
      </c>
      <c r="V601" s="146">
        <f>'HAULING RATES- ODOT Locations'!E218</f>
        <v>0</v>
      </c>
      <c r="W601" s="131" t="str">
        <f>+'Aggregate, Plant Pick-up'!$C$6</f>
        <v>LAFARGE-MARBLEHEAD "OSBORNE-CLEVELAND"</v>
      </c>
      <c r="X601" s="131" t="str">
        <f>+Plant_Information!$B$10</f>
        <v>04105-28</v>
      </c>
      <c r="Y601" s="131" t="str">
        <f>+Plant_Information!$B$11</f>
        <v>2100 CENTRAL FURNACE ROAD</v>
      </c>
      <c r="Z601" s="131" t="str">
        <f>+Plant_Information!$B$12</f>
        <v>CLEVELAND, OH, 44115</v>
      </c>
      <c r="AA601" s="131" t="str">
        <f>+Plant_Information!$B$13</f>
        <v>12</v>
      </c>
      <c r="AB601" s="131" t="str">
        <f>+Plant_Information!$B$14</f>
        <v>CUY</v>
      </c>
      <c r="AC601" s="70"/>
    </row>
    <row r="602" spans="17:29" x14ac:dyDescent="0.2">
      <c r="Q602" s="100" t="str">
        <f>Plant_Information!$B$6</f>
        <v>(INSERT VENDOR NAME HERE)</v>
      </c>
      <c r="R602" s="100" t="str">
        <f>'HAULING RATES- ODOT Locations'!$A$209</f>
        <v>District 11</v>
      </c>
      <c r="S602" s="100" t="str">
        <f>'HAULING RATES- ODOT Locations'!A219</f>
        <v>Columbiana</v>
      </c>
      <c r="T602" s="100" t="str">
        <f>'HAULING RATES- ODOT Locations'!B219</f>
        <v>Unity OP, 2099 SR 165, East Palestine, OH 44413</v>
      </c>
      <c r="U602" t="str">
        <f>'HAULING RATES- ODOT Locations'!E$8</f>
        <v>Gravel</v>
      </c>
      <c r="V602" s="146">
        <f>'HAULING RATES- ODOT Locations'!E219</f>
        <v>0</v>
      </c>
      <c r="W602" s="131" t="str">
        <f>+'Aggregate, Plant Pick-up'!$C$6</f>
        <v>LAFARGE-MARBLEHEAD "OSBORNE-CLEVELAND"</v>
      </c>
      <c r="X602" s="131" t="str">
        <f>+Plant_Information!$B$10</f>
        <v>04105-28</v>
      </c>
      <c r="Y602" s="131" t="str">
        <f>+Plant_Information!$B$11</f>
        <v>2100 CENTRAL FURNACE ROAD</v>
      </c>
      <c r="Z602" s="131" t="str">
        <f>+Plant_Information!$B$12</f>
        <v>CLEVELAND, OH, 44115</v>
      </c>
      <c r="AA602" s="131" t="str">
        <f>+Plant_Information!$B$13</f>
        <v>12</v>
      </c>
      <c r="AB602" s="131" t="str">
        <f>+Plant_Information!$B$14</f>
        <v>CUY</v>
      </c>
      <c r="AC602" s="70"/>
    </row>
    <row r="603" spans="17:29" x14ac:dyDescent="0.2">
      <c r="Q603" s="100" t="str">
        <f>Plant_Information!$B$6</f>
        <v>(INSERT VENDOR NAME HERE)</v>
      </c>
      <c r="R603" s="100" t="str">
        <f>'HAULING RATES- ODOT Locations'!$A$209</f>
        <v>District 11</v>
      </c>
      <c r="S603" s="100" t="str">
        <f>'HAULING RATES- ODOT Locations'!A220</f>
        <v>Harrison</v>
      </c>
      <c r="T603" s="100" t="str">
        <f>'HAULING RATES- ODOT Locations'!B220</f>
        <v>Harrison Co. Gar., 43041 S. Industrial Park Rd.,Cadiz, OH 43907</v>
      </c>
      <c r="U603" t="str">
        <f>'HAULING RATES- ODOT Locations'!E$8</f>
        <v>Gravel</v>
      </c>
      <c r="V603" s="146">
        <f>'HAULING RATES- ODOT Locations'!E220</f>
        <v>0</v>
      </c>
      <c r="W603" s="131" t="str">
        <f>+'Aggregate, Plant Pick-up'!$C$6</f>
        <v>LAFARGE-MARBLEHEAD "OSBORNE-CLEVELAND"</v>
      </c>
      <c r="X603" s="131" t="str">
        <f>+Plant_Information!$B$10</f>
        <v>04105-28</v>
      </c>
      <c r="Y603" s="131" t="str">
        <f>+Plant_Information!$B$11</f>
        <v>2100 CENTRAL FURNACE ROAD</v>
      </c>
      <c r="Z603" s="131" t="str">
        <f>+Plant_Information!$B$12</f>
        <v>CLEVELAND, OH, 44115</v>
      </c>
      <c r="AA603" s="131" t="str">
        <f>+Plant_Information!$B$13</f>
        <v>12</v>
      </c>
      <c r="AB603" s="131" t="str">
        <f>+Plant_Information!$B$14</f>
        <v>CUY</v>
      </c>
      <c r="AC603" s="70"/>
    </row>
    <row r="604" spans="17:29" x14ac:dyDescent="0.2">
      <c r="Q604" s="138" t="str">
        <f>Plant_Information!$B$6</f>
        <v>(INSERT VENDOR NAME HERE)</v>
      </c>
      <c r="R604" s="138" t="str">
        <f>'HAULING RATES- ODOT Locations'!$A$209</f>
        <v>District 11</v>
      </c>
      <c r="S604" s="138" t="str">
        <f>'HAULING RATES- ODOT Locations'!A221</f>
        <v>Harrison</v>
      </c>
      <c r="T604" s="138" t="str">
        <f>'HAULING RATES- ODOT Locations'!B221</f>
        <v>37201 Scio Bowerstown Rd, Scio OH 43988</v>
      </c>
      <c r="U604" s="138" t="str">
        <f>'HAULING RATES- ODOT Locations'!E$8</f>
        <v>Gravel</v>
      </c>
      <c r="V604" s="146">
        <f>'HAULING RATES- ODOT Locations'!E221</f>
        <v>0</v>
      </c>
      <c r="W604" s="141" t="str">
        <f>+'Aggregate, Plant Pick-up'!$C$6</f>
        <v>LAFARGE-MARBLEHEAD "OSBORNE-CLEVELAND"</v>
      </c>
      <c r="X604" s="141" t="str">
        <f>+Plant_Information!$B$10</f>
        <v>04105-28</v>
      </c>
      <c r="Y604" s="141" t="str">
        <f>+Plant_Information!$B$11</f>
        <v>2100 CENTRAL FURNACE ROAD</v>
      </c>
      <c r="Z604" s="141" t="str">
        <f>+Plant_Information!$B$12</f>
        <v>CLEVELAND, OH, 44115</v>
      </c>
      <c r="AA604" s="141" t="str">
        <f>+Plant_Information!$B$13</f>
        <v>12</v>
      </c>
      <c r="AB604" s="141" t="str">
        <f>+Plant_Information!$B$14</f>
        <v>CUY</v>
      </c>
      <c r="AC604" s="70"/>
    </row>
    <row r="605" spans="17:29" x14ac:dyDescent="0.2">
      <c r="Q605" s="100" t="str">
        <f>Plant_Information!$B$6</f>
        <v>(INSERT VENDOR NAME HERE)</v>
      </c>
      <c r="R605" s="100" t="str">
        <f>'HAULING RATES- ODOT Locations'!$A$209</f>
        <v>District 11</v>
      </c>
      <c r="S605" s="100" t="str">
        <f>'HAULING RATES- ODOT Locations'!A222</f>
        <v>Harrison</v>
      </c>
      <c r="T605" s="100" t="str">
        <f>'HAULING RATES- ODOT Locations'!B222</f>
        <v>76001 Smyrna Rd., Freeport, OH 43973</v>
      </c>
      <c r="U605" t="str">
        <f>'HAULING RATES- ODOT Locations'!E$8</f>
        <v>Gravel</v>
      </c>
      <c r="V605" s="146">
        <f>'HAULING RATES- ODOT Locations'!E222</f>
        <v>0</v>
      </c>
      <c r="W605" s="131" t="str">
        <f>+'Aggregate, Plant Pick-up'!$C$6</f>
        <v>LAFARGE-MARBLEHEAD "OSBORNE-CLEVELAND"</v>
      </c>
      <c r="X605" s="131" t="str">
        <f>+Plant_Information!$B$10</f>
        <v>04105-28</v>
      </c>
      <c r="Y605" s="131" t="str">
        <f>+Plant_Information!$B$11</f>
        <v>2100 CENTRAL FURNACE ROAD</v>
      </c>
      <c r="Z605" s="131" t="str">
        <f>+Plant_Information!$B$12</f>
        <v>CLEVELAND, OH, 44115</v>
      </c>
      <c r="AA605" s="131" t="str">
        <f>+Plant_Information!$B$13</f>
        <v>12</v>
      </c>
      <c r="AB605" s="131" t="str">
        <f>+Plant_Information!$B$14</f>
        <v>CUY</v>
      </c>
      <c r="AC605" s="70"/>
    </row>
    <row r="606" spans="17:29" x14ac:dyDescent="0.2">
      <c r="Q606" s="100" t="str">
        <f>Plant_Information!$B$6</f>
        <v>(INSERT VENDOR NAME HERE)</v>
      </c>
      <c r="R606" s="100" t="str">
        <f>'HAULING RATES- ODOT Locations'!$A$209</f>
        <v>District 11</v>
      </c>
      <c r="S606" s="100" t="str">
        <f>'HAULING RATES- ODOT Locations'!A223</f>
        <v>Holmes</v>
      </c>
      <c r="T606" s="100" t="str">
        <f>'HAULING RATES- ODOT Locations'!B223</f>
        <v>1800 S. Washington St., Millersburg, OH 44654</v>
      </c>
      <c r="U606" t="str">
        <f>'HAULING RATES- ODOT Locations'!E$8</f>
        <v>Gravel</v>
      </c>
      <c r="V606" s="146">
        <f>'HAULING RATES- ODOT Locations'!E223</f>
        <v>0</v>
      </c>
      <c r="W606" s="131" t="str">
        <f>+'Aggregate, Plant Pick-up'!$C$6</f>
        <v>LAFARGE-MARBLEHEAD "OSBORNE-CLEVELAND"</v>
      </c>
      <c r="X606" s="131" t="str">
        <f>+Plant_Information!$B$10</f>
        <v>04105-28</v>
      </c>
      <c r="Y606" s="131" t="str">
        <f>+Plant_Information!$B$11</f>
        <v>2100 CENTRAL FURNACE ROAD</v>
      </c>
      <c r="Z606" s="131" t="str">
        <f>+Plant_Information!$B$12</f>
        <v>CLEVELAND, OH, 44115</v>
      </c>
      <c r="AA606" s="131" t="str">
        <f>+Plant_Information!$B$13</f>
        <v>12</v>
      </c>
      <c r="AB606" s="131" t="str">
        <f>+Plant_Information!$B$14</f>
        <v>CUY</v>
      </c>
      <c r="AC606" s="70"/>
    </row>
    <row r="607" spans="17:29" x14ac:dyDescent="0.2">
      <c r="Q607" s="100" t="str">
        <f>Plant_Information!$B$6</f>
        <v>(INSERT VENDOR NAME HERE)</v>
      </c>
      <c r="R607" s="100" t="str">
        <f>'HAULING RATES- ODOT Locations'!$A$209</f>
        <v>District 11</v>
      </c>
      <c r="S607" s="100" t="str">
        <f>'HAULING RATES- ODOT Locations'!A224</f>
        <v>Holmes</v>
      </c>
      <c r="T607" s="100" t="str">
        <f>'HAULING RATES- ODOT Locations'!B224</f>
        <v>Nashville OP, 14785 SR 39, Lakeville, OH 44638</v>
      </c>
      <c r="U607" t="str">
        <f>'HAULING RATES- ODOT Locations'!E$8</f>
        <v>Gravel</v>
      </c>
      <c r="V607" s="146">
        <f>'HAULING RATES- ODOT Locations'!E224</f>
        <v>0</v>
      </c>
      <c r="W607" s="131" t="str">
        <f>+'Aggregate, Plant Pick-up'!$C$6</f>
        <v>LAFARGE-MARBLEHEAD "OSBORNE-CLEVELAND"</v>
      </c>
      <c r="X607" s="131" t="str">
        <f>+Plant_Information!$B$10</f>
        <v>04105-28</v>
      </c>
      <c r="Y607" s="131" t="str">
        <f>+Plant_Information!$B$11</f>
        <v>2100 CENTRAL FURNACE ROAD</v>
      </c>
      <c r="Z607" s="131" t="str">
        <f>+Plant_Information!$B$12</f>
        <v>CLEVELAND, OH, 44115</v>
      </c>
      <c r="AA607" s="131" t="str">
        <f>+Plant_Information!$B$13</f>
        <v>12</v>
      </c>
      <c r="AB607" s="131" t="str">
        <f>+Plant_Information!$B$14</f>
        <v>CUY</v>
      </c>
      <c r="AC607" s="70"/>
    </row>
    <row r="608" spans="17:29" x14ac:dyDescent="0.2">
      <c r="Q608" s="100" t="str">
        <f>Plant_Information!$B$6</f>
        <v>(INSERT VENDOR NAME HERE)</v>
      </c>
      <c r="R608" s="100" t="str">
        <f>'HAULING RATES- ODOT Locations'!$A$209</f>
        <v>District 11</v>
      </c>
      <c r="S608" s="100" t="str">
        <f>'HAULING RATES- ODOT Locations'!A225</f>
        <v>Jefferson</v>
      </c>
      <c r="T608" s="100" t="str">
        <f>'HAULING RATES- ODOT Locations'!B225</f>
        <v>575 CR 43, Steubenville, OH 43952</v>
      </c>
      <c r="U608" t="str">
        <f>'HAULING RATES- ODOT Locations'!E$8</f>
        <v>Gravel</v>
      </c>
      <c r="V608" s="146">
        <f>'HAULING RATES- ODOT Locations'!E225</f>
        <v>0</v>
      </c>
      <c r="W608" s="131" t="str">
        <f>+'Aggregate, Plant Pick-up'!$C$6</f>
        <v>LAFARGE-MARBLEHEAD "OSBORNE-CLEVELAND"</v>
      </c>
      <c r="X608" s="131" t="str">
        <f>+Plant_Information!$B$10</f>
        <v>04105-28</v>
      </c>
      <c r="Y608" s="131" t="str">
        <f>+Plant_Information!$B$11</f>
        <v>2100 CENTRAL FURNACE ROAD</v>
      </c>
      <c r="Z608" s="131" t="str">
        <f>+Plant_Information!$B$12</f>
        <v>CLEVELAND, OH, 44115</v>
      </c>
      <c r="AA608" s="131" t="str">
        <f>+Plant_Information!$B$13</f>
        <v>12</v>
      </c>
      <c r="AB608" s="131" t="str">
        <f>+Plant_Information!$B$14</f>
        <v>CUY</v>
      </c>
      <c r="AC608" s="70"/>
    </row>
    <row r="609" spans="17:29" x14ac:dyDescent="0.2">
      <c r="Q609" s="100" t="str">
        <f>Plant_Information!$B$6</f>
        <v>(INSERT VENDOR NAME HERE)</v>
      </c>
      <c r="R609" s="100" t="str">
        <f>'HAULING RATES- ODOT Locations'!$A$209</f>
        <v>District 11</v>
      </c>
      <c r="S609" s="100" t="str">
        <f>'HAULING RATES- ODOT Locations'!A226</f>
        <v>Jefferson</v>
      </c>
      <c r="T609" s="100" t="str">
        <f>'HAULING RATES- ODOT Locations'!B226</f>
        <v>940 Kingsdale Rd., Steubenville, OH 43952</v>
      </c>
      <c r="U609" t="str">
        <f>'HAULING RATES- ODOT Locations'!E$8</f>
        <v>Gravel</v>
      </c>
      <c r="V609" s="146">
        <f>'HAULING RATES- ODOT Locations'!E226</f>
        <v>0</v>
      </c>
      <c r="W609" s="131" t="str">
        <f>+'Aggregate, Plant Pick-up'!$C$6</f>
        <v>LAFARGE-MARBLEHEAD "OSBORNE-CLEVELAND"</v>
      </c>
      <c r="X609" s="131" t="str">
        <f>+Plant_Information!$B$10</f>
        <v>04105-28</v>
      </c>
      <c r="Y609" s="131" t="str">
        <f>+Plant_Information!$B$11</f>
        <v>2100 CENTRAL FURNACE ROAD</v>
      </c>
      <c r="Z609" s="131" t="str">
        <f>+Plant_Information!$B$12</f>
        <v>CLEVELAND, OH, 44115</v>
      </c>
      <c r="AA609" s="131" t="str">
        <f>+Plant_Information!$B$13</f>
        <v>12</v>
      </c>
      <c r="AB609" s="131" t="str">
        <f>+Plant_Information!$B$14</f>
        <v>CUY</v>
      </c>
      <c r="AC609" s="70"/>
    </row>
    <row r="610" spans="17:29" x14ac:dyDescent="0.2">
      <c r="Q610" s="100" t="str">
        <f>Plant_Information!$B$6</f>
        <v>(INSERT VENDOR NAME HERE)</v>
      </c>
      <c r="R610" s="100" t="str">
        <f>'HAULING RATES- ODOT Locations'!$A$209</f>
        <v>District 11</v>
      </c>
      <c r="S610" s="100" t="str">
        <f>'HAULING RATES- ODOT Locations'!A227</f>
        <v>Jefferson</v>
      </c>
      <c r="T610" s="100" t="str">
        <f>'HAULING RATES- ODOT Locations'!B227</f>
        <v>4735 State Rt. 150, Dillonvale, OH 43917</v>
      </c>
      <c r="U610" t="str">
        <f>'HAULING RATES- ODOT Locations'!E$8</f>
        <v>Gravel</v>
      </c>
      <c r="V610" s="146">
        <f>'HAULING RATES- ODOT Locations'!E227</f>
        <v>0</v>
      </c>
      <c r="W610" s="131" t="str">
        <f>+'Aggregate, Plant Pick-up'!$C$6</f>
        <v>LAFARGE-MARBLEHEAD "OSBORNE-CLEVELAND"</v>
      </c>
      <c r="X610" s="131" t="str">
        <f>+Plant_Information!$B$10</f>
        <v>04105-28</v>
      </c>
      <c r="Y610" s="131" t="str">
        <f>+Plant_Information!$B$11</f>
        <v>2100 CENTRAL FURNACE ROAD</v>
      </c>
      <c r="Z610" s="131" t="str">
        <f>+Plant_Information!$B$12</f>
        <v>CLEVELAND, OH, 44115</v>
      </c>
      <c r="AA610" s="131" t="str">
        <f>+Plant_Information!$B$13</f>
        <v>12</v>
      </c>
      <c r="AB610" s="131" t="str">
        <f>+Plant_Information!$B$14</f>
        <v>CUY</v>
      </c>
      <c r="AC610" s="70"/>
    </row>
    <row r="611" spans="17:29" x14ac:dyDescent="0.2">
      <c r="Q611" s="100" t="str">
        <f>Plant_Information!$B$6</f>
        <v>(INSERT VENDOR NAME HERE)</v>
      </c>
      <c r="R611" s="100" t="str">
        <f>'HAULING RATES- ODOT Locations'!$A$209</f>
        <v>District 11</v>
      </c>
      <c r="S611" s="100" t="str">
        <f>'HAULING RATES- ODOT Locations'!A228</f>
        <v>Jefferson</v>
      </c>
      <c r="T611" s="100" t="str">
        <f>'HAULING RATES- ODOT Locations'!B228</f>
        <v>7876 State Rt. 164, Bergholz, OH 43908</v>
      </c>
      <c r="U611" t="str">
        <f>'HAULING RATES- ODOT Locations'!E$8</f>
        <v>Gravel</v>
      </c>
      <c r="V611" s="146">
        <f>'HAULING RATES- ODOT Locations'!E228</f>
        <v>0</v>
      </c>
      <c r="W611" s="131" t="str">
        <f>+'Aggregate, Plant Pick-up'!$C$6</f>
        <v>LAFARGE-MARBLEHEAD "OSBORNE-CLEVELAND"</v>
      </c>
      <c r="X611" s="131" t="str">
        <f>+Plant_Information!$B$10</f>
        <v>04105-28</v>
      </c>
      <c r="Y611" s="131" t="str">
        <f>+Plant_Information!$B$11</f>
        <v>2100 CENTRAL FURNACE ROAD</v>
      </c>
      <c r="Z611" s="131" t="str">
        <f>+Plant_Information!$B$12</f>
        <v>CLEVELAND, OH, 44115</v>
      </c>
      <c r="AA611" s="131" t="str">
        <f>+Plant_Information!$B$13</f>
        <v>12</v>
      </c>
      <c r="AB611" s="131" t="str">
        <f>+Plant_Information!$B$14</f>
        <v>CUY</v>
      </c>
      <c r="AC611" s="70"/>
    </row>
    <row r="612" spans="17:29" x14ac:dyDescent="0.2">
      <c r="Q612" s="100" t="str">
        <f>Plant_Information!$B$6</f>
        <v>(INSERT VENDOR NAME HERE)</v>
      </c>
      <c r="R612" s="100" t="str">
        <f>'HAULING RATES- ODOT Locations'!$A$209</f>
        <v>District 11</v>
      </c>
      <c r="S612" s="100" t="str">
        <f>'HAULING RATES- ODOT Locations'!A229</f>
        <v>Tuscarawas</v>
      </c>
      <c r="T612" s="100" t="str">
        <f>'HAULING RATES- ODOT Locations'!B229</f>
        <v>384 Stonecreek Rd. SE, New Philadelphia, OH 44663</v>
      </c>
      <c r="U612" t="str">
        <f>'HAULING RATES- ODOT Locations'!E$8</f>
        <v>Gravel</v>
      </c>
      <c r="V612" s="146">
        <f>'HAULING RATES- ODOT Locations'!E229</f>
        <v>0</v>
      </c>
      <c r="W612" s="131" t="str">
        <f>+'Aggregate, Plant Pick-up'!$C$6</f>
        <v>LAFARGE-MARBLEHEAD "OSBORNE-CLEVELAND"</v>
      </c>
      <c r="X612" s="131" t="str">
        <f>+Plant_Information!$B$10</f>
        <v>04105-28</v>
      </c>
      <c r="Y612" s="131" t="str">
        <f>+Plant_Information!$B$11</f>
        <v>2100 CENTRAL FURNACE ROAD</v>
      </c>
      <c r="Z612" s="131" t="str">
        <f>+Plant_Information!$B$12</f>
        <v>CLEVELAND, OH, 44115</v>
      </c>
      <c r="AA612" s="131" t="str">
        <f>+Plant_Information!$B$13</f>
        <v>12</v>
      </c>
      <c r="AB612" s="131" t="str">
        <f>+Plant_Information!$B$14</f>
        <v>CUY</v>
      </c>
      <c r="AC612" s="70"/>
    </row>
    <row r="613" spans="17:29" x14ac:dyDescent="0.2">
      <c r="Q613" s="100" t="str">
        <f>Plant_Information!$B$6</f>
        <v>(INSERT VENDOR NAME HERE)</v>
      </c>
      <c r="R613" s="100" t="str">
        <f>'HAULING RATES- ODOT Locations'!$A$209</f>
        <v>District 11</v>
      </c>
      <c r="S613" s="100" t="str">
        <f>'HAULING RATES- ODOT Locations'!A230</f>
        <v>Tuscarawas</v>
      </c>
      <c r="T613" s="100" t="str">
        <f>'HAULING RATES- ODOT Locations'!B230</f>
        <v>1763 Dover-Zoar Rd., Bolivar, OH 44612</v>
      </c>
      <c r="U613" t="str">
        <f>'HAULING RATES- ODOT Locations'!E$8</f>
        <v>Gravel</v>
      </c>
      <c r="V613" s="146">
        <f>'HAULING RATES- ODOT Locations'!E230</f>
        <v>0</v>
      </c>
      <c r="W613" s="131" t="str">
        <f>+'Aggregate, Plant Pick-up'!$C$6</f>
        <v>LAFARGE-MARBLEHEAD "OSBORNE-CLEVELAND"</v>
      </c>
      <c r="X613" s="131" t="str">
        <f>+Plant_Information!$B$10</f>
        <v>04105-28</v>
      </c>
      <c r="Y613" s="131" t="str">
        <f>+Plant_Information!$B$11</f>
        <v>2100 CENTRAL FURNACE ROAD</v>
      </c>
      <c r="Z613" s="131" t="str">
        <f>+Plant_Information!$B$12</f>
        <v>CLEVELAND, OH, 44115</v>
      </c>
      <c r="AA613" s="131" t="str">
        <f>+Plant_Information!$B$13</f>
        <v>12</v>
      </c>
      <c r="AB613" s="131" t="str">
        <f>+Plant_Information!$B$14</f>
        <v>CUY</v>
      </c>
      <c r="AC613" s="70"/>
    </row>
    <row r="614" spans="17:29" x14ac:dyDescent="0.2">
      <c r="Q614" s="100" t="str">
        <f>Plant_Information!$B$6</f>
        <v>(INSERT VENDOR NAME HERE)</v>
      </c>
      <c r="R614" s="100" t="str">
        <f>'HAULING RATES- ODOT Locations'!$A$209</f>
        <v>District 11</v>
      </c>
      <c r="S614" s="100" t="str">
        <f>'HAULING RATES- ODOT Locations'!A231</f>
        <v>Tuscarawas</v>
      </c>
      <c r="T614" s="100" t="str">
        <f>'HAULING RATES- ODOT Locations'!B231</f>
        <v>600 N. College St., Newcomerstown, OH 43832</v>
      </c>
      <c r="U614" t="str">
        <f>'HAULING RATES- ODOT Locations'!E$8</f>
        <v>Gravel</v>
      </c>
      <c r="V614" s="146">
        <f>'HAULING RATES- ODOT Locations'!E231</f>
        <v>0</v>
      </c>
      <c r="W614" s="131" t="str">
        <f>+'Aggregate, Plant Pick-up'!$C$6</f>
        <v>LAFARGE-MARBLEHEAD "OSBORNE-CLEVELAND"</v>
      </c>
      <c r="X614" s="131" t="str">
        <f>+Plant_Information!$B$10</f>
        <v>04105-28</v>
      </c>
      <c r="Y614" s="131" t="str">
        <f>+Plant_Information!$B$11</f>
        <v>2100 CENTRAL FURNACE ROAD</v>
      </c>
      <c r="Z614" s="131" t="str">
        <f>+Plant_Information!$B$12</f>
        <v>CLEVELAND, OH, 44115</v>
      </c>
      <c r="AA614" s="131" t="str">
        <f>+Plant_Information!$B$13</f>
        <v>12</v>
      </c>
      <c r="AB614" s="131" t="str">
        <f>+Plant_Information!$B$14</f>
        <v>CUY</v>
      </c>
      <c r="AC614" s="70"/>
    </row>
    <row r="615" spans="17:29" x14ac:dyDescent="0.2">
      <c r="Q615" s="100" t="str">
        <f>Plant_Information!$B$6</f>
        <v>(INSERT VENDOR NAME HERE)</v>
      </c>
      <c r="R615" s="100" t="str">
        <f>'HAULING RATES- ODOT Locations'!$A$209</f>
        <v>District 11</v>
      </c>
      <c r="S615" s="100" t="str">
        <f>'HAULING RATES- ODOT Locations'!A232</f>
        <v>Tuscarawas</v>
      </c>
      <c r="T615" s="100" t="str">
        <f>'HAULING RATES- ODOT Locations'!B232</f>
        <v>2201 Reiser Ave. SE, New Philadelphia, OH 44663</v>
      </c>
      <c r="U615" t="str">
        <f>'HAULING RATES- ODOT Locations'!E$8</f>
        <v>Gravel</v>
      </c>
      <c r="V615" s="146">
        <f>'HAULING RATES- ODOT Locations'!E232</f>
        <v>0</v>
      </c>
      <c r="W615" s="131" t="str">
        <f>+'Aggregate, Plant Pick-up'!$C$6</f>
        <v>LAFARGE-MARBLEHEAD "OSBORNE-CLEVELAND"</v>
      </c>
      <c r="X615" s="131" t="str">
        <f>+Plant_Information!$B$10</f>
        <v>04105-28</v>
      </c>
      <c r="Y615" s="131" t="str">
        <f>+Plant_Information!$B$11</f>
        <v>2100 CENTRAL FURNACE ROAD</v>
      </c>
      <c r="Z615" s="131" t="str">
        <f>+Plant_Information!$B$12</f>
        <v>CLEVELAND, OH, 44115</v>
      </c>
      <c r="AA615" s="131" t="str">
        <f>+Plant_Information!$B$13</f>
        <v>12</v>
      </c>
      <c r="AB615" s="131" t="str">
        <f>+Plant_Information!$B$14</f>
        <v>CUY</v>
      </c>
      <c r="AC615" s="70"/>
    </row>
    <row r="616" spans="17:29" x14ac:dyDescent="0.2">
      <c r="Q616" s="100" t="str">
        <f>Plant_Information!$B$6</f>
        <v>(INSERT VENDOR NAME HERE)</v>
      </c>
      <c r="R616" s="100" t="str">
        <f>'HAULING RATES- ODOT Locations'!$A$233</f>
        <v>District 12</v>
      </c>
      <c r="S616" s="100" t="str">
        <f>'HAULING RATES- ODOT Locations'!A236</f>
        <v>Cuyahoga</v>
      </c>
      <c r="T616" s="100" t="str">
        <f>'HAULING RATES- ODOT Locations'!B236</f>
        <v>5430 Lake Ct., Cleveland, OH 44114</v>
      </c>
      <c r="U616" t="str">
        <f>'HAULING RATES- ODOT Locations'!E$8</f>
        <v>Gravel</v>
      </c>
      <c r="V616" s="146">
        <f>'HAULING RATES- ODOT Locations'!E236</f>
        <v>0</v>
      </c>
      <c r="W616" s="131" t="str">
        <f>+'Aggregate, Plant Pick-up'!$C$6</f>
        <v>LAFARGE-MARBLEHEAD "OSBORNE-CLEVELAND"</v>
      </c>
      <c r="X616" s="131" t="str">
        <f>+Plant_Information!$B$10</f>
        <v>04105-28</v>
      </c>
      <c r="Y616" s="131" t="str">
        <f>+Plant_Information!$B$11</f>
        <v>2100 CENTRAL FURNACE ROAD</v>
      </c>
      <c r="Z616" s="131" t="str">
        <f>+Plant_Information!$B$12</f>
        <v>CLEVELAND, OH, 44115</v>
      </c>
      <c r="AA616" s="131" t="str">
        <f>+Plant_Information!$B$13</f>
        <v>12</v>
      </c>
      <c r="AB616" s="131" t="str">
        <f>+Plant_Information!$B$14</f>
        <v>CUY</v>
      </c>
      <c r="AC616" s="70"/>
    </row>
    <row r="617" spans="17:29" x14ac:dyDescent="0.2">
      <c r="Q617" s="100" t="str">
        <f>Plant_Information!$B$6</f>
        <v>(INSERT VENDOR NAME HERE)</v>
      </c>
      <c r="R617" s="100" t="str">
        <f>'HAULING RATES- ODOT Locations'!$A$233</f>
        <v>District 12</v>
      </c>
      <c r="S617" s="100" t="str">
        <f>'HAULING RATES- ODOT Locations'!A237</f>
        <v>Cuyahoga</v>
      </c>
      <c r="T617" s="100" t="str">
        <f>'HAULING RATES- ODOT Locations'!B237</f>
        <v>5469 Old Brecksville Rd., Independence, OH 44131</v>
      </c>
      <c r="U617" t="str">
        <f>'HAULING RATES- ODOT Locations'!E$8</f>
        <v>Gravel</v>
      </c>
      <c r="V617" s="146">
        <f>'HAULING RATES- ODOT Locations'!E237</f>
        <v>0</v>
      </c>
      <c r="W617" s="131" t="str">
        <f>+'Aggregate, Plant Pick-up'!$C$6</f>
        <v>LAFARGE-MARBLEHEAD "OSBORNE-CLEVELAND"</v>
      </c>
      <c r="X617" s="131" t="str">
        <f>+Plant_Information!$B$10</f>
        <v>04105-28</v>
      </c>
      <c r="Y617" s="131" t="str">
        <f>+Plant_Information!$B$11</f>
        <v>2100 CENTRAL FURNACE ROAD</v>
      </c>
      <c r="Z617" s="131" t="str">
        <f>+Plant_Information!$B$12</f>
        <v>CLEVELAND, OH, 44115</v>
      </c>
      <c r="AA617" s="131" t="str">
        <f>+Plant_Information!$B$13</f>
        <v>12</v>
      </c>
      <c r="AB617" s="131" t="str">
        <f>+Plant_Information!$B$14</f>
        <v>CUY</v>
      </c>
      <c r="AC617" s="70"/>
    </row>
    <row r="618" spans="17:29" x14ac:dyDescent="0.2">
      <c r="Q618" s="100" t="str">
        <f>Plant_Information!$B$6</f>
        <v>(INSERT VENDOR NAME HERE)</v>
      </c>
      <c r="R618" s="100" t="str">
        <f>'HAULING RATES- ODOT Locations'!$A$233</f>
        <v>District 12</v>
      </c>
      <c r="S618" s="100" t="str">
        <f>'HAULING RATES- ODOT Locations'!A238</f>
        <v>Cuyahoga</v>
      </c>
      <c r="T618" s="100" t="str">
        <f>'HAULING RATES- ODOT Locations'!B238</f>
        <v>25500 St. Clair Ave Euclid OH 44117</v>
      </c>
      <c r="U618" t="str">
        <f>'HAULING RATES- ODOT Locations'!E$8</f>
        <v>Gravel</v>
      </c>
      <c r="V618" s="146">
        <f>'HAULING RATES- ODOT Locations'!E238</f>
        <v>0</v>
      </c>
      <c r="W618" s="131" t="str">
        <f>+'Aggregate, Plant Pick-up'!$C$6</f>
        <v>LAFARGE-MARBLEHEAD "OSBORNE-CLEVELAND"</v>
      </c>
      <c r="X618" s="131" t="str">
        <f>+Plant_Information!$B$10</f>
        <v>04105-28</v>
      </c>
      <c r="Y618" s="131" t="str">
        <f>+Plant_Information!$B$11</f>
        <v>2100 CENTRAL FURNACE ROAD</v>
      </c>
      <c r="Z618" s="131" t="str">
        <f>+Plant_Information!$B$12</f>
        <v>CLEVELAND, OH, 44115</v>
      </c>
      <c r="AA618" s="131" t="str">
        <f>+Plant_Information!$B$13</f>
        <v>12</v>
      </c>
      <c r="AB618" s="131" t="str">
        <f>+Plant_Information!$B$14</f>
        <v>CUY</v>
      </c>
      <c r="AC618" s="70"/>
    </row>
    <row r="619" spans="17:29" x14ac:dyDescent="0.2">
      <c r="Q619" s="100" t="str">
        <f>Plant_Information!$B$6</f>
        <v>(INSERT VENDOR NAME HERE)</v>
      </c>
      <c r="R619" s="100" t="str">
        <f>'HAULING RATES- ODOT Locations'!$A$233</f>
        <v>District 12</v>
      </c>
      <c r="S619" s="100" t="str">
        <f>'HAULING RATES- ODOT Locations'!A239</f>
        <v>Cuyahoga</v>
      </c>
      <c r="T619" s="100" t="str">
        <f>'HAULING RATES- ODOT Locations'!B239</f>
        <v>2151 W114th St. Cleveland OH 44102</v>
      </c>
      <c r="U619" t="str">
        <f>'HAULING RATES- ODOT Locations'!E$8</f>
        <v>Gravel</v>
      </c>
      <c r="V619" s="146">
        <f>'HAULING RATES- ODOT Locations'!E239</f>
        <v>0</v>
      </c>
      <c r="W619" s="131" t="str">
        <f>+'Aggregate, Plant Pick-up'!$C$6</f>
        <v>LAFARGE-MARBLEHEAD "OSBORNE-CLEVELAND"</v>
      </c>
      <c r="X619" s="131" t="str">
        <f>+Plant_Information!$B$10</f>
        <v>04105-28</v>
      </c>
      <c r="Y619" s="131" t="str">
        <f>+Plant_Information!$B$11</f>
        <v>2100 CENTRAL FURNACE ROAD</v>
      </c>
      <c r="Z619" s="131" t="str">
        <f>+Plant_Information!$B$12</f>
        <v>CLEVELAND, OH, 44115</v>
      </c>
      <c r="AA619" s="131" t="str">
        <f>+Plant_Information!$B$13</f>
        <v>12</v>
      </c>
      <c r="AB619" s="131" t="str">
        <f>+Plant_Information!$B$14</f>
        <v>CUY</v>
      </c>
      <c r="AC619" s="70"/>
    </row>
    <row r="620" spans="17:29" x14ac:dyDescent="0.2">
      <c r="Q620" s="100" t="str">
        <f>Plant_Information!$B$6</f>
        <v>(INSERT VENDOR NAME HERE)</v>
      </c>
      <c r="R620" s="100" t="str">
        <f>'HAULING RATES- ODOT Locations'!$A$233</f>
        <v>District 12</v>
      </c>
      <c r="S620" s="100" t="str">
        <f>'HAULING RATES- ODOT Locations'!A240</f>
        <v>Cuyahoga</v>
      </c>
      <c r="T620" s="100" t="str">
        <f>'HAULING RATES- ODOT Locations'!B240</f>
        <v>Riveredge Yard, 4900 Old Grayton Rd., Cleveland, OH 44135</v>
      </c>
      <c r="U620" t="str">
        <f>'HAULING RATES- ODOT Locations'!E$8</f>
        <v>Gravel</v>
      </c>
      <c r="V620" s="146">
        <f>'HAULING RATES- ODOT Locations'!E240</f>
        <v>0</v>
      </c>
      <c r="W620" s="131" t="str">
        <f>+'Aggregate, Plant Pick-up'!$C$6</f>
        <v>LAFARGE-MARBLEHEAD "OSBORNE-CLEVELAND"</v>
      </c>
      <c r="X620" s="131" t="str">
        <f>+Plant_Information!$B$10</f>
        <v>04105-28</v>
      </c>
      <c r="Y620" s="131" t="str">
        <f>+Plant_Information!$B$11</f>
        <v>2100 CENTRAL FURNACE ROAD</v>
      </c>
      <c r="Z620" s="131" t="str">
        <f>+Plant_Information!$B$12</f>
        <v>CLEVELAND, OH, 44115</v>
      </c>
      <c r="AA620" s="131" t="str">
        <f>+Plant_Information!$B$13</f>
        <v>12</v>
      </c>
      <c r="AB620" s="131" t="str">
        <f>+Plant_Information!$B$14</f>
        <v>CUY</v>
      </c>
      <c r="AC620" s="70"/>
    </row>
    <row r="621" spans="17:29" x14ac:dyDescent="0.2">
      <c r="Q621" s="100" t="str">
        <f>Plant_Information!$B$6</f>
        <v>(INSERT VENDOR NAME HERE)</v>
      </c>
      <c r="R621" s="100" t="str">
        <f>'HAULING RATES- ODOT Locations'!$A$233</f>
        <v>District 12</v>
      </c>
      <c r="S621" s="100" t="str">
        <f>'HAULING RATES- ODOT Locations'!A241</f>
        <v>Cuyahoga</v>
      </c>
      <c r="T621" s="100" t="str">
        <f>'HAULING RATES- ODOT Locations'!B241</f>
        <v>3263 E 44th Pl, Cleveland, OH 44127</v>
      </c>
      <c r="U621" t="str">
        <f>'HAULING RATES- ODOT Locations'!E$8</f>
        <v>Gravel</v>
      </c>
      <c r="V621" s="146">
        <f>'HAULING RATES- ODOT Locations'!E241</f>
        <v>0</v>
      </c>
      <c r="W621" s="131" t="str">
        <f>+'Aggregate, Plant Pick-up'!$C$6</f>
        <v>LAFARGE-MARBLEHEAD "OSBORNE-CLEVELAND"</v>
      </c>
      <c r="X621" s="131" t="str">
        <f>+Plant_Information!$B$10</f>
        <v>04105-28</v>
      </c>
      <c r="Y621" s="131" t="str">
        <f>+Plant_Information!$B$11</f>
        <v>2100 CENTRAL FURNACE ROAD</v>
      </c>
      <c r="Z621" s="131" t="str">
        <f>+Plant_Information!$B$12</f>
        <v>CLEVELAND, OH, 44115</v>
      </c>
      <c r="AA621" s="131" t="str">
        <f>+Plant_Information!$B$13</f>
        <v>12</v>
      </c>
      <c r="AB621" s="131" t="str">
        <f>+Plant_Information!$B$14</f>
        <v>CUY</v>
      </c>
      <c r="AC621" s="70"/>
    </row>
    <row r="622" spans="17:29" x14ac:dyDescent="0.2">
      <c r="Q622" s="100" t="str">
        <f>Plant_Information!$B$6</f>
        <v>(INSERT VENDOR NAME HERE)</v>
      </c>
      <c r="R622" s="100" t="str">
        <f>'HAULING RATES- ODOT Locations'!$A$233</f>
        <v>District 12</v>
      </c>
      <c r="S622" s="100" t="str">
        <f>'HAULING RATES- ODOT Locations'!A242</f>
        <v>Cuyahoga</v>
      </c>
      <c r="T622" s="100" t="str">
        <f>'HAULING RATES- ODOT Locations'!B242</f>
        <v>25609 Emery Rd., Warrensville Heights, OH 44128</v>
      </c>
      <c r="U622" t="str">
        <f>'HAULING RATES- ODOT Locations'!E$8</f>
        <v>Gravel</v>
      </c>
      <c r="V622" s="146">
        <f>'HAULING RATES- ODOT Locations'!E242</f>
        <v>0</v>
      </c>
      <c r="W622" s="131" t="str">
        <f>+'Aggregate, Plant Pick-up'!$C$6</f>
        <v>LAFARGE-MARBLEHEAD "OSBORNE-CLEVELAND"</v>
      </c>
      <c r="X622" s="131" t="str">
        <f>+Plant_Information!$B$10</f>
        <v>04105-28</v>
      </c>
      <c r="Y622" s="131" t="str">
        <f>+Plant_Information!$B$11</f>
        <v>2100 CENTRAL FURNACE ROAD</v>
      </c>
      <c r="Z622" s="131" t="str">
        <f>+Plant_Information!$B$12</f>
        <v>CLEVELAND, OH, 44115</v>
      </c>
      <c r="AA622" s="131" t="str">
        <f>+Plant_Information!$B$13</f>
        <v>12</v>
      </c>
      <c r="AB622" s="131" t="str">
        <f>+Plant_Information!$B$14</f>
        <v>CUY</v>
      </c>
      <c r="AC622" s="70"/>
    </row>
    <row r="623" spans="17:29" x14ac:dyDescent="0.2">
      <c r="Q623" s="100" t="str">
        <f>Plant_Information!$B$6</f>
        <v>(INSERT VENDOR NAME HERE)</v>
      </c>
      <c r="R623" s="100" t="str">
        <f>'HAULING RATES- ODOT Locations'!$A$233</f>
        <v>District 12</v>
      </c>
      <c r="S623" s="100" t="str">
        <f>'HAULING RATES- ODOT Locations'!A243</f>
        <v>Geauga</v>
      </c>
      <c r="T623" s="100" t="str">
        <f>'HAULING RATES- ODOT Locations'!B243</f>
        <v>13595 W. Center St.(Rt. 87), Burton, OH 44021</v>
      </c>
      <c r="U623" t="str">
        <f>'HAULING RATES- ODOT Locations'!E$8</f>
        <v>Gravel</v>
      </c>
      <c r="V623" s="146">
        <f>'HAULING RATES- ODOT Locations'!E243</f>
        <v>0</v>
      </c>
      <c r="W623" s="131" t="str">
        <f>+'Aggregate, Plant Pick-up'!$C$6</f>
        <v>LAFARGE-MARBLEHEAD "OSBORNE-CLEVELAND"</v>
      </c>
      <c r="X623" s="131" t="str">
        <f>+Plant_Information!$B$10</f>
        <v>04105-28</v>
      </c>
      <c r="Y623" s="131" t="str">
        <f>+Plant_Information!$B$11</f>
        <v>2100 CENTRAL FURNACE ROAD</v>
      </c>
      <c r="Z623" s="131" t="str">
        <f>+Plant_Information!$B$12</f>
        <v>CLEVELAND, OH, 44115</v>
      </c>
      <c r="AA623" s="131" t="str">
        <f>+Plant_Information!$B$13</f>
        <v>12</v>
      </c>
      <c r="AB623" s="131" t="str">
        <f>+Plant_Information!$B$14</f>
        <v>CUY</v>
      </c>
      <c r="AC623" s="70"/>
    </row>
    <row r="624" spans="17:29" x14ac:dyDescent="0.2">
      <c r="Q624" s="100" t="str">
        <f>Plant_Information!$B$6</f>
        <v>(INSERT VENDOR NAME HERE)</v>
      </c>
      <c r="R624" s="100" t="str">
        <f>'HAULING RATES- ODOT Locations'!$A$233</f>
        <v>District 12</v>
      </c>
      <c r="S624" s="100" t="str">
        <f>'HAULING RATES- ODOT Locations'!A244</f>
        <v>Geauga</v>
      </c>
      <c r="T624" s="100" t="str">
        <f>'HAULING RATES- ODOT Locations'!B244</f>
        <v>16556 G.A.R. Highway (Route 6), Montville Twp., OH 44064</v>
      </c>
      <c r="U624" t="str">
        <f>'HAULING RATES- ODOT Locations'!E$8</f>
        <v>Gravel</v>
      </c>
      <c r="V624" s="146">
        <f>'HAULING RATES- ODOT Locations'!E244</f>
        <v>0</v>
      </c>
      <c r="W624" s="131" t="str">
        <f>+'Aggregate, Plant Pick-up'!$C$6</f>
        <v>LAFARGE-MARBLEHEAD "OSBORNE-CLEVELAND"</v>
      </c>
      <c r="X624" s="131" t="str">
        <f>+Plant_Information!$B$10</f>
        <v>04105-28</v>
      </c>
      <c r="Y624" s="131" t="str">
        <f>+Plant_Information!$B$11</f>
        <v>2100 CENTRAL FURNACE ROAD</v>
      </c>
      <c r="Z624" s="131" t="str">
        <f>+Plant_Information!$B$12</f>
        <v>CLEVELAND, OH, 44115</v>
      </c>
      <c r="AA624" s="131" t="str">
        <f>+Plant_Information!$B$13</f>
        <v>12</v>
      </c>
      <c r="AB624" s="131" t="str">
        <f>+Plant_Information!$B$14</f>
        <v>CUY</v>
      </c>
      <c r="AC624" s="70"/>
    </row>
    <row r="625" spans="17:29" x14ac:dyDescent="0.2">
      <c r="Q625" s="100" t="str">
        <f>Plant_Information!$B$6</f>
        <v>(INSERT VENDOR NAME HERE)</v>
      </c>
      <c r="R625" s="100" t="str">
        <f>'HAULING RATES- ODOT Locations'!$A$233</f>
        <v>District 12</v>
      </c>
      <c r="S625" s="100" t="str">
        <f>'HAULING RATES- ODOT Locations'!A245</f>
        <v>Geauga</v>
      </c>
      <c r="T625" s="100" t="str">
        <f>'HAULING RATES- ODOT Locations'!B245</f>
        <v>Munson Yard, 12453 Bass Lake Rd. (Off  Route 322) Munson Twp., OH 44024</v>
      </c>
      <c r="U625" t="str">
        <f>'HAULING RATES- ODOT Locations'!E$8</f>
        <v>Gravel</v>
      </c>
      <c r="V625" s="146">
        <f>'HAULING RATES- ODOT Locations'!E245</f>
        <v>0</v>
      </c>
      <c r="W625" s="131" t="str">
        <f>+'Aggregate, Plant Pick-up'!$C$6</f>
        <v>LAFARGE-MARBLEHEAD "OSBORNE-CLEVELAND"</v>
      </c>
      <c r="X625" s="131" t="str">
        <f>+Plant_Information!$B$10</f>
        <v>04105-28</v>
      </c>
      <c r="Y625" s="131" t="str">
        <f>+Plant_Information!$B$11</f>
        <v>2100 CENTRAL FURNACE ROAD</v>
      </c>
      <c r="Z625" s="131" t="str">
        <f>+Plant_Information!$B$12</f>
        <v>CLEVELAND, OH, 44115</v>
      </c>
      <c r="AA625" s="131" t="str">
        <f>+Plant_Information!$B$13</f>
        <v>12</v>
      </c>
      <c r="AB625" s="131" t="str">
        <f>+Plant_Information!$B$14</f>
        <v>CUY</v>
      </c>
      <c r="AC625" s="70"/>
    </row>
    <row r="626" spans="17:29" x14ac:dyDescent="0.2">
      <c r="Q626" s="100" t="str">
        <f>Plant_Information!$B$6</f>
        <v>(INSERT VENDOR NAME HERE)</v>
      </c>
      <c r="R626" s="100" t="str">
        <f>'HAULING RATES- ODOT Locations'!$A$233</f>
        <v>District 12</v>
      </c>
      <c r="S626" s="100" t="str">
        <f>'HAULING RATES- ODOT Locations'!A246</f>
        <v>Geauga</v>
      </c>
      <c r="T626" s="100" t="str">
        <f>'HAULING RATES- ODOT Locations'!B246</f>
        <v>18186 Tavern Rd.(Route 168), Parkman Twp., OH 44080</v>
      </c>
      <c r="U626" t="str">
        <f>'HAULING RATES- ODOT Locations'!E$8</f>
        <v>Gravel</v>
      </c>
      <c r="V626" s="146">
        <f>'HAULING RATES- ODOT Locations'!E246</f>
        <v>0</v>
      </c>
      <c r="W626" s="131" t="str">
        <f>+'Aggregate, Plant Pick-up'!$C$6</f>
        <v>LAFARGE-MARBLEHEAD "OSBORNE-CLEVELAND"</v>
      </c>
      <c r="X626" s="131" t="str">
        <f>+Plant_Information!$B$10</f>
        <v>04105-28</v>
      </c>
      <c r="Y626" s="131" t="str">
        <f>+Plant_Information!$B$11</f>
        <v>2100 CENTRAL FURNACE ROAD</v>
      </c>
      <c r="Z626" s="131" t="str">
        <f>+Plant_Information!$B$12</f>
        <v>CLEVELAND, OH, 44115</v>
      </c>
      <c r="AA626" s="131" t="str">
        <f>+Plant_Information!$B$13</f>
        <v>12</v>
      </c>
      <c r="AB626" s="131" t="str">
        <f>+Plant_Information!$B$14</f>
        <v>CUY</v>
      </c>
      <c r="AC626" s="70"/>
    </row>
    <row r="627" spans="17:29" x14ac:dyDescent="0.2">
      <c r="Q627" s="100" t="str">
        <f>Plant_Information!$B$6</f>
        <v>(INSERT VENDOR NAME HERE)</v>
      </c>
      <c r="R627" s="100" t="str">
        <f>'HAULING RATES- ODOT Locations'!$A$233</f>
        <v>District 12</v>
      </c>
      <c r="S627" s="100" t="str">
        <f>'HAULING RATES- ODOT Locations'!A247</f>
        <v>Lake</v>
      </c>
      <c r="T627" s="100" t="str">
        <f>'HAULING RATES- ODOT Locations'!B247</f>
        <v>10 Blackbrook Rd., Painesville, OH 44077</v>
      </c>
      <c r="U627" t="str">
        <f>'HAULING RATES- ODOT Locations'!E$8</f>
        <v>Gravel</v>
      </c>
      <c r="V627" s="146">
        <f>'HAULING RATES- ODOT Locations'!E247</f>
        <v>0</v>
      </c>
      <c r="W627" s="131" t="str">
        <f>+'Aggregate, Plant Pick-up'!$C$6</f>
        <v>LAFARGE-MARBLEHEAD "OSBORNE-CLEVELAND"</v>
      </c>
      <c r="X627" s="131" t="str">
        <f>+Plant_Information!$B$10</f>
        <v>04105-28</v>
      </c>
      <c r="Y627" s="131" t="str">
        <f>+Plant_Information!$B$11</f>
        <v>2100 CENTRAL FURNACE ROAD</v>
      </c>
      <c r="Z627" s="131" t="str">
        <f>+Plant_Information!$B$12</f>
        <v>CLEVELAND, OH, 44115</v>
      </c>
      <c r="AA627" s="131" t="str">
        <f>+Plant_Information!$B$13</f>
        <v>12</v>
      </c>
      <c r="AB627" s="131" t="str">
        <f>+Plant_Information!$B$14</f>
        <v>CUY</v>
      </c>
      <c r="AC627" s="70"/>
    </row>
    <row r="628" spans="17:29" x14ac:dyDescent="0.2">
      <c r="Q628" s="100" t="str">
        <f>Plant_Information!$B$6</f>
        <v>(INSERT VENDOR NAME HERE)</v>
      </c>
      <c r="R628" s="100" t="str">
        <f>'HAULING RATES- ODOT Locations'!$A$233</f>
        <v>District 12</v>
      </c>
      <c r="S628" s="100" t="str">
        <f>'HAULING RATES- ODOT Locations'!A248</f>
        <v>Lake</v>
      </c>
      <c r="T628" s="100" t="str">
        <f>'HAULING RATES- ODOT Locations'!B248</f>
        <v>Unionville OP, 3210 County Line Rd., Madison Twp., OH 44057</v>
      </c>
      <c r="U628" t="str">
        <f>'HAULING RATES- ODOT Locations'!E$8</f>
        <v>Gravel</v>
      </c>
      <c r="V628" s="146">
        <f>'HAULING RATES- ODOT Locations'!E248</f>
        <v>0</v>
      </c>
      <c r="W628" s="131" t="str">
        <f>+'Aggregate, Plant Pick-up'!$C$6</f>
        <v>LAFARGE-MARBLEHEAD "OSBORNE-CLEVELAND"</v>
      </c>
      <c r="X628" s="131" t="str">
        <f>+Plant_Information!$B$10</f>
        <v>04105-28</v>
      </c>
      <c r="Y628" s="131" t="str">
        <f>+Plant_Information!$B$11</f>
        <v>2100 CENTRAL FURNACE ROAD</v>
      </c>
      <c r="Z628" s="131" t="str">
        <f>+Plant_Information!$B$12</f>
        <v>CLEVELAND, OH, 44115</v>
      </c>
      <c r="AA628" s="131" t="str">
        <f>+Plant_Information!$B$13</f>
        <v>12</v>
      </c>
      <c r="AB628" s="131" t="str">
        <f>+Plant_Information!$B$14</f>
        <v>CUY</v>
      </c>
      <c r="AC628" s="70"/>
    </row>
    <row r="629" spans="17:29" x14ac:dyDescent="0.2">
      <c r="Q629" s="100" t="str">
        <f>Plant_Information!$B$6</f>
        <v>(INSERT VENDOR NAME HERE)</v>
      </c>
      <c r="R629" s="100" t="str">
        <f>'HAULING RATES- ODOT Locations'!$A$233</f>
        <v>District 12</v>
      </c>
      <c r="S629" s="100" t="str">
        <f>'HAULING RATES- ODOT Locations'!A249</f>
        <v>Lake</v>
      </c>
      <c r="T629" s="100" t="str">
        <f>'HAULING RATES- ODOT Locations'!B249</f>
        <v>I-90 EB, 0.84 mi. east of SR 91, Willoughby Hills, OH 44094 (Old Weigh Scale)</v>
      </c>
      <c r="U629" t="str">
        <f>'HAULING RATES- ODOT Locations'!E$8</f>
        <v>Gravel</v>
      </c>
      <c r="V629" s="146">
        <f>'HAULING RATES- ODOT Locations'!E249</f>
        <v>0</v>
      </c>
      <c r="W629" s="131" t="str">
        <f>+'Aggregate, Plant Pick-up'!$C$6</f>
        <v>LAFARGE-MARBLEHEAD "OSBORNE-CLEVELAND"</v>
      </c>
      <c r="X629" s="131" t="str">
        <f>+Plant_Information!$B$10</f>
        <v>04105-28</v>
      </c>
      <c r="Y629" s="131" t="str">
        <f>+Plant_Information!$B$11</f>
        <v>2100 CENTRAL FURNACE ROAD</v>
      </c>
      <c r="Z629" s="131" t="str">
        <f>+Plant_Information!$B$12</f>
        <v>CLEVELAND, OH, 44115</v>
      </c>
      <c r="AA629" s="131" t="str">
        <f>+Plant_Information!$B$13</f>
        <v>12</v>
      </c>
      <c r="AB629" s="131" t="str">
        <f>+Plant_Information!$B$14</f>
        <v>CUY</v>
      </c>
      <c r="AC629" s="70"/>
    </row>
    <row r="630" spans="17:29" x14ac:dyDescent="0.2">
      <c r="Q630" s="100" t="str">
        <f>Plant_Information!$B$6</f>
        <v>(INSERT VENDOR NAME HERE)</v>
      </c>
      <c r="R630" s="100" t="str">
        <f>'HAULING RATES- ODOT Locations'!$A$233</f>
        <v>District 12</v>
      </c>
      <c r="S630" s="100" t="str">
        <f>'HAULING RATES- ODOT Locations'!A250</f>
        <v>Lake</v>
      </c>
      <c r="T630" s="100" t="str">
        <f>'HAULING RATES- ODOT Locations'!B250</f>
        <v>6073 Vrooman Rd., Leroy Township., OH 44077</v>
      </c>
      <c r="U630" t="str">
        <f>'HAULING RATES- ODOT Locations'!E$8</f>
        <v>Gravel</v>
      </c>
      <c r="V630" s="146">
        <f>'HAULING RATES- ODOT Locations'!E250</f>
        <v>0</v>
      </c>
      <c r="W630" s="131" t="str">
        <f>+'Aggregate, Plant Pick-up'!$C$6</f>
        <v>LAFARGE-MARBLEHEAD "OSBORNE-CLEVELAND"</v>
      </c>
      <c r="X630" s="131" t="str">
        <f>+Plant_Information!$B$10</f>
        <v>04105-28</v>
      </c>
      <c r="Y630" s="131" t="str">
        <f>+Plant_Information!$B$11</f>
        <v>2100 CENTRAL FURNACE ROAD</v>
      </c>
      <c r="Z630" s="131" t="str">
        <f>+Plant_Information!$B$12</f>
        <v>CLEVELAND, OH, 44115</v>
      </c>
      <c r="AA630" s="131" t="str">
        <f>+Plant_Information!$B$13</f>
        <v>12</v>
      </c>
      <c r="AB630" s="131" t="str">
        <f>+Plant_Information!$B$14</f>
        <v>CUY</v>
      </c>
      <c r="AC630" s="70"/>
    </row>
    <row r="631" spans="17:29" x14ac:dyDescent="0.2">
      <c r="Q631" t="str">
        <f>Plant_Information!$B$6</f>
        <v>(INSERT VENDOR NAME HERE)</v>
      </c>
      <c r="R631" t="str">
        <f>'HAULING RATES- ODOT Locations'!$A$6</f>
        <v>District 1</v>
      </c>
      <c r="S631" t="str">
        <f>'HAULING RATES- ODOT Locations'!A9</f>
        <v>Allen</v>
      </c>
      <c r="T631" t="str">
        <f>'HAULING RATES- ODOT Locations'!B9</f>
        <v>1705 North McCullough Street, Lima, 45801</v>
      </c>
      <c r="U631" t="str">
        <f>'HAULING RATES- ODOT Locations'!F$8</f>
        <v>Sand</v>
      </c>
      <c r="V631" s="146">
        <f>'HAULING RATES- ODOT Locations'!F9</f>
        <v>0</v>
      </c>
      <c r="W631" s="131" t="str">
        <f>+'Aggregate, Plant Pick-up'!$C$6</f>
        <v>LAFARGE-MARBLEHEAD "OSBORNE-CLEVELAND"</v>
      </c>
      <c r="X631" s="131" t="str">
        <f>+Plant_Information!$B$10</f>
        <v>04105-28</v>
      </c>
      <c r="Y631" s="131" t="str">
        <f>+Plant_Information!$B$11</f>
        <v>2100 CENTRAL FURNACE ROAD</v>
      </c>
      <c r="Z631" s="131" t="str">
        <f>+Plant_Information!$B$12</f>
        <v>CLEVELAND, OH, 44115</v>
      </c>
      <c r="AA631" s="131" t="str">
        <f>+Plant_Information!$B$13</f>
        <v>12</v>
      </c>
      <c r="AB631" s="131" t="str">
        <f>+Plant_Information!$B$14</f>
        <v>CUY</v>
      </c>
      <c r="AC631" s="70"/>
    </row>
    <row r="632" spans="17:29" x14ac:dyDescent="0.2">
      <c r="Q632" t="str">
        <f>Plant_Information!$B$6</f>
        <v>(INSERT VENDOR NAME HERE)</v>
      </c>
      <c r="R632" t="str">
        <f>'HAULING RATES- ODOT Locations'!$A$6</f>
        <v>District 1</v>
      </c>
      <c r="S632" t="str">
        <f>'HAULING RATES- ODOT Locations'!A10</f>
        <v>Defiance</v>
      </c>
      <c r="T632" t="str">
        <f>'HAULING RATES- ODOT Locations'!B10</f>
        <v>2340 Baltimore Rd., Defiance 43512</v>
      </c>
      <c r="U632" t="str">
        <f>'HAULING RATES- ODOT Locations'!F$8</f>
        <v>Sand</v>
      </c>
      <c r="V632" s="146">
        <f>'HAULING RATES- ODOT Locations'!F10</f>
        <v>0</v>
      </c>
      <c r="W632" s="131" t="str">
        <f>+'Aggregate, Plant Pick-up'!$C$6</f>
        <v>LAFARGE-MARBLEHEAD "OSBORNE-CLEVELAND"</v>
      </c>
      <c r="X632" s="131" t="str">
        <f>+Plant_Information!$B$10</f>
        <v>04105-28</v>
      </c>
      <c r="Y632" s="131" t="str">
        <f>+Plant_Information!$B$11</f>
        <v>2100 CENTRAL FURNACE ROAD</v>
      </c>
      <c r="Z632" s="131" t="str">
        <f>+Plant_Information!$B$12</f>
        <v>CLEVELAND, OH, 44115</v>
      </c>
      <c r="AA632" s="131" t="str">
        <f>+Plant_Information!$B$13</f>
        <v>12</v>
      </c>
      <c r="AB632" s="131" t="str">
        <f>+Plant_Information!$B$14</f>
        <v>CUY</v>
      </c>
      <c r="AC632" s="70"/>
    </row>
    <row r="633" spans="17:29" x14ac:dyDescent="0.2">
      <c r="Q633" t="str">
        <f>Plant_Information!$B$6</f>
        <v>(INSERT VENDOR NAME HERE)</v>
      </c>
      <c r="R633" t="str">
        <f>'HAULING RATES- ODOT Locations'!$A$6</f>
        <v>District 1</v>
      </c>
      <c r="S633" t="str">
        <f>'HAULING RATES- ODOT Locations'!A11</f>
        <v>Hancock</v>
      </c>
      <c r="T633" t="str">
        <f>'HAULING RATES- ODOT Locations'!B11</f>
        <v>1645 Lima Ave., Findlay 45840</v>
      </c>
      <c r="U633" t="str">
        <f>'HAULING RATES- ODOT Locations'!F$8</f>
        <v>Sand</v>
      </c>
      <c r="V633" s="146">
        <f>'HAULING RATES- ODOT Locations'!F11</f>
        <v>0</v>
      </c>
      <c r="W633" s="131" t="str">
        <f>+'Aggregate, Plant Pick-up'!$C$6</f>
        <v>LAFARGE-MARBLEHEAD "OSBORNE-CLEVELAND"</v>
      </c>
      <c r="X633" s="131" t="str">
        <f>+Plant_Information!$B$10</f>
        <v>04105-28</v>
      </c>
      <c r="Y633" s="131" t="str">
        <f>+Plant_Information!$B$11</f>
        <v>2100 CENTRAL FURNACE ROAD</v>
      </c>
      <c r="Z633" s="131" t="str">
        <f>+Plant_Information!$B$12</f>
        <v>CLEVELAND, OH, 44115</v>
      </c>
      <c r="AA633" s="131" t="str">
        <f>+Plant_Information!$B$13</f>
        <v>12</v>
      </c>
      <c r="AB633" s="131" t="str">
        <f>+Plant_Information!$B$14</f>
        <v>CUY</v>
      </c>
      <c r="AC633" s="70"/>
    </row>
    <row r="634" spans="17:29" x14ac:dyDescent="0.2">
      <c r="Q634" t="str">
        <f>Plant_Information!$B$6</f>
        <v>(INSERT VENDOR NAME HERE)</v>
      </c>
      <c r="R634" t="str">
        <f>'HAULING RATES- ODOT Locations'!$A$6</f>
        <v>District 1</v>
      </c>
      <c r="S634" t="str">
        <f>'HAULING RATES- ODOT Locations'!A12</f>
        <v>Hardin</v>
      </c>
      <c r="T634" t="str">
        <f>'HAULING RATES- ODOT Locations'!B12</f>
        <v>13052 US 68, Kenton 43326</v>
      </c>
      <c r="U634" t="str">
        <f>'HAULING RATES- ODOT Locations'!F$8</f>
        <v>Sand</v>
      </c>
      <c r="V634" s="146">
        <f>'HAULING RATES- ODOT Locations'!F12</f>
        <v>0</v>
      </c>
      <c r="W634" s="131" t="str">
        <f>+'Aggregate, Plant Pick-up'!$C$6</f>
        <v>LAFARGE-MARBLEHEAD "OSBORNE-CLEVELAND"</v>
      </c>
      <c r="X634" s="131" t="str">
        <f>+Plant_Information!$B$10</f>
        <v>04105-28</v>
      </c>
      <c r="Y634" s="131" t="str">
        <f>+Plant_Information!$B$11</f>
        <v>2100 CENTRAL FURNACE ROAD</v>
      </c>
      <c r="Z634" s="131" t="str">
        <f>+Plant_Information!$B$12</f>
        <v>CLEVELAND, OH, 44115</v>
      </c>
      <c r="AA634" s="131" t="str">
        <f>+Plant_Information!$B$13</f>
        <v>12</v>
      </c>
      <c r="AB634" s="131" t="str">
        <f>+Plant_Information!$B$14</f>
        <v>CUY</v>
      </c>
      <c r="AC634" s="70"/>
    </row>
    <row r="635" spans="17:29" x14ac:dyDescent="0.2">
      <c r="Q635" t="str">
        <f>Plant_Information!$B$6</f>
        <v>(INSERT VENDOR NAME HERE)</v>
      </c>
      <c r="R635" t="str">
        <f>'HAULING RATES- ODOT Locations'!$A$6</f>
        <v>District 1</v>
      </c>
      <c r="S635" t="str">
        <f>'HAULING RATES- ODOT Locations'!A13</f>
        <v>Paulding</v>
      </c>
      <c r="T635" t="str">
        <f>'HAULING RATES- ODOT Locations'!B13</f>
        <v>833 W. Wayne St., Paulding 45879</v>
      </c>
      <c r="U635" t="str">
        <f>'HAULING RATES- ODOT Locations'!F$8</f>
        <v>Sand</v>
      </c>
      <c r="V635" s="146">
        <f>'HAULING RATES- ODOT Locations'!F13</f>
        <v>0</v>
      </c>
      <c r="W635" s="131" t="str">
        <f>+'Aggregate, Plant Pick-up'!$C$6</f>
        <v>LAFARGE-MARBLEHEAD "OSBORNE-CLEVELAND"</v>
      </c>
      <c r="X635" s="131" t="str">
        <f>+Plant_Information!$B$10</f>
        <v>04105-28</v>
      </c>
      <c r="Y635" s="131" t="str">
        <f>+Plant_Information!$B$11</f>
        <v>2100 CENTRAL FURNACE ROAD</v>
      </c>
      <c r="Z635" s="131" t="str">
        <f>+Plant_Information!$B$12</f>
        <v>CLEVELAND, OH, 44115</v>
      </c>
      <c r="AA635" s="131" t="str">
        <f>+Plant_Information!$B$13</f>
        <v>12</v>
      </c>
      <c r="AB635" s="131" t="str">
        <f>+Plant_Information!$B$14</f>
        <v>CUY</v>
      </c>
      <c r="AC635" s="70"/>
    </row>
    <row r="636" spans="17:29" x14ac:dyDescent="0.2">
      <c r="Q636" t="str">
        <f>Plant_Information!$B$6</f>
        <v>(INSERT VENDOR NAME HERE)</v>
      </c>
      <c r="R636" t="str">
        <f>'HAULING RATES- ODOT Locations'!$A$6</f>
        <v>District 1</v>
      </c>
      <c r="S636" t="str">
        <f>'HAULING RATES- ODOT Locations'!A14</f>
        <v xml:space="preserve">Putnam </v>
      </c>
      <c r="T636" t="str">
        <f>'HAULING RATES- ODOT Locations'!B14</f>
        <v>617 E. 11th St. (Intersection SR 65 &amp; 11th Street), Ottawa, 45875</v>
      </c>
      <c r="U636" t="str">
        <f>'HAULING RATES- ODOT Locations'!F$8</f>
        <v>Sand</v>
      </c>
      <c r="V636" s="146">
        <f>'HAULING RATES- ODOT Locations'!F14</f>
        <v>0</v>
      </c>
      <c r="W636" s="131" t="str">
        <f>+'Aggregate, Plant Pick-up'!$C$6</f>
        <v>LAFARGE-MARBLEHEAD "OSBORNE-CLEVELAND"</v>
      </c>
      <c r="X636" s="131" t="str">
        <f>+Plant_Information!$B$10</f>
        <v>04105-28</v>
      </c>
      <c r="Y636" s="131" t="str">
        <f>+Plant_Information!$B$11</f>
        <v>2100 CENTRAL FURNACE ROAD</v>
      </c>
      <c r="Z636" s="131" t="str">
        <f>+Plant_Information!$B$12</f>
        <v>CLEVELAND, OH, 44115</v>
      </c>
      <c r="AA636" s="131" t="str">
        <f>+Plant_Information!$B$13</f>
        <v>12</v>
      </c>
      <c r="AB636" s="131" t="str">
        <f>+Plant_Information!$B$14</f>
        <v>CUY</v>
      </c>
      <c r="AC636" s="70"/>
    </row>
    <row r="637" spans="17:29" x14ac:dyDescent="0.2">
      <c r="Q637" t="str">
        <f>Plant_Information!$B$6</f>
        <v>(INSERT VENDOR NAME HERE)</v>
      </c>
      <c r="R637" t="str">
        <f>'HAULING RATES- ODOT Locations'!$A$6</f>
        <v>District 1</v>
      </c>
      <c r="S637" t="str">
        <f>'HAULING RATES- ODOT Locations'!A15</f>
        <v>Van Wert</v>
      </c>
      <c r="T637" t="str">
        <f>'HAULING RATES- ODOT Locations'!B15</f>
        <v>10238 Van Wert-Decatur Rd., Van Wert 45891</v>
      </c>
      <c r="U637" t="str">
        <f>'HAULING RATES- ODOT Locations'!F$8</f>
        <v>Sand</v>
      </c>
      <c r="V637" s="146">
        <f>'HAULING RATES- ODOT Locations'!F15</f>
        <v>0</v>
      </c>
      <c r="W637" s="131" t="str">
        <f>+'Aggregate, Plant Pick-up'!$C$6</f>
        <v>LAFARGE-MARBLEHEAD "OSBORNE-CLEVELAND"</v>
      </c>
      <c r="X637" s="131" t="str">
        <f>+Plant_Information!$B$10</f>
        <v>04105-28</v>
      </c>
      <c r="Y637" s="131" t="str">
        <f>+Plant_Information!$B$11</f>
        <v>2100 CENTRAL FURNACE ROAD</v>
      </c>
      <c r="Z637" s="131" t="str">
        <f>+Plant_Information!$B$12</f>
        <v>CLEVELAND, OH, 44115</v>
      </c>
      <c r="AA637" s="131" t="str">
        <f>+Plant_Information!$B$13</f>
        <v>12</v>
      </c>
      <c r="AB637" s="131" t="str">
        <f>+Plant_Information!$B$14</f>
        <v>CUY</v>
      </c>
      <c r="AC637" s="70"/>
    </row>
    <row r="638" spans="17:29" x14ac:dyDescent="0.2">
      <c r="Q638" t="str">
        <f>Plant_Information!$B$6</f>
        <v>(INSERT VENDOR NAME HERE)</v>
      </c>
      <c r="R638" t="str">
        <f>'HAULING RATES- ODOT Locations'!$A$6</f>
        <v>District 1</v>
      </c>
      <c r="S638" t="str">
        <f>'HAULING RATES- ODOT Locations'!A16</f>
        <v>Wyandot</v>
      </c>
      <c r="T638" t="str">
        <f>'HAULING RATES- ODOT Locations'!B16</f>
        <v>10976 County Highway 121, Upper Sandusky 43351</v>
      </c>
      <c r="U638" t="str">
        <f>'HAULING RATES- ODOT Locations'!F$8</f>
        <v>Sand</v>
      </c>
      <c r="V638" s="146">
        <f>'HAULING RATES- ODOT Locations'!F16</f>
        <v>0</v>
      </c>
      <c r="W638" s="131" t="str">
        <f>+'Aggregate, Plant Pick-up'!$C$6</f>
        <v>LAFARGE-MARBLEHEAD "OSBORNE-CLEVELAND"</v>
      </c>
      <c r="X638" s="131" t="str">
        <f>+Plant_Information!$B$10</f>
        <v>04105-28</v>
      </c>
      <c r="Y638" s="131" t="str">
        <f>+Plant_Information!$B$11</f>
        <v>2100 CENTRAL FURNACE ROAD</v>
      </c>
      <c r="Z638" s="131" t="str">
        <f>+Plant_Information!$B$12</f>
        <v>CLEVELAND, OH, 44115</v>
      </c>
      <c r="AA638" s="131" t="str">
        <f>+Plant_Information!$B$13</f>
        <v>12</v>
      </c>
      <c r="AB638" s="131" t="str">
        <f>+Plant_Information!$B$14</f>
        <v>CUY</v>
      </c>
      <c r="AC638" s="70"/>
    </row>
    <row r="639" spans="17:29" x14ac:dyDescent="0.2">
      <c r="Q639" t="str">
        <f>Plant_Information!$B$6</f>
        <v>(INSERT VENDOR NAME HERE)</v>
      </c>
      <c r="R639" t="str">
        <f>'HAULING RATES- ODOT Locations'!$A$17</f>
        <v>District 2</v>
      </c>
      <c r="S639" t="str">
        <f>'HAULING RATES- ODOT Locations'!A20</f>
        <v>Fulton</v>
      </c>
      <c r="T639" t="str">
        <f>'HAULING RATES- ODOT Locations'!B20</f>
        <v>8878 State Route 108, Wauseon, Ohio 43567</v>
      </c>
      <c r="U639" t="str">
        <f>'HAULING RATES- ODOT Locations'!F$8</f>
        <v>Sand</v>
      </c>
      <c r="V639" s="146">
        <f>'HAULING RATES- ODOT Locations'!F20</f>
        <v>0</v>
      </c>
      <c r="W639" s="131" t="str">
        <f>+'Aggregate, Plant Pick-up'!$C$6</f>
        <v>LAFARGE-MARBLEHEAD "OSBORNE-CLEVELAND"</v>
      </c>
      <c r="X639" s="131" t="str">
        <f>+Plant_Information!$B$10</f>
        <v>04105-28</v>
      </c>
      <c r="Y639" s="131" t="str">
        <f>+Plant_Information!$B$11</f>
        <v>2100 CENTRAL FURNACE ROAD</v>
      </c>
      <c r="Z639" s="131" t="str">
        <f>+Plant_Information!$B$12</f>
        <v>CLEVELAND, OH, 44115</v>
      </c>
      <c r="AA639" s="131" t="str">
        <f>+Plant_Information!$B$13</f>
        <v>12</v>
      </c>
      <c r="AB639" s="131" t="str">
        <f>+Plant_Information!$B$14</f>
        <v>CUY</v>
      </c>
      <c r="AC639" s="70"/>
    </row>
    <row r="640" spans="17:29" x14ac:dyDescent="0.2">
      <c r="Q640" t="str">
        <f>Plant_Information!$B$6</f>
        <v>(INSERT VENDOR NAME HERE)</v>
      </c>
      <c r="R640" t="str">
        <f>'HAULING RATES- ODOT Locations'!$A$17</f>
        <v>District 2</v>
      </c>
      <c r="S640" t="str">
        <f>'HAULING RATES- ODOT Locations'!A21</f>
        <v>Henry</v>
      </c>
      <c r="T640" t="str">
        <f>'HAULING RATES- ODOT Locations'!B21</f>
        <v>9733 SR 110 Napoleon, Oh 43545</v>
      </c>
      <c r="U640" t="str">
        <f>'HAULING RATES- ODOT Locations'!F$8</f>
        <v>Sand</v>
      </c>
      <c r="V640" s="146">
        <f>'HAULING RATES- ODOT Locations'!F21</f>
        <v>0</v>
      </c>
      <c r="W640" s="131" t="str">
        <f>+'Aggregate, Plant Pick-up'!$C$6</f>
        <v>LAFARGE-MARBLEHEAD "OSBORNE-CLEVELAND"</v>
      </c>
      <c r="X640" s="131" t="str">
        <f>+Plant_Information!$B$10</f>
        <v>04105-28</v>
      </c>
      <c r="Y640" s="131" t="str">
        <f>+Plant_Information!$B$11</f>
        <v>2100 CENTRAL FURNACE ROAD</v>
      </c>
      <c r="Z640" s="131" t="str">
        <f>+Plant_Information!$B$12</f>
        <v>CLEVELAND, OH, 44115</v>
      </c>
      <c r="AA640" s="131" t="str">
        <f>+Plant_Information!$B$13</f>
        <v>12</v>
      </c>
      <c r="AB640" s="131" t="str">
        <f>+Plant_Information!$B$14</f>
        <v>CUY</v>
      </c>
      <c r="AC640" s="70"/>
    </row>
    <row r="641" spans="17:29" x14ac:dyDescent="0.2">
      <c r="Q641" t="str">
        <f>Plant_Information!$B$6</f>
        <v>(INSERT VENDOR NAME HERE)</v>
      </c>
      <c r="R641" t="str">
        <f>'HAULING RATES- ODOT Locations'!$A$17</f>
        <v>District 2</v>
      </c>
      <c r="S641" t="str">
        <f>'HAULING RATES- ODOT Locations'!A22</f>
        <v>Lucas</v>
      </c>
      <c r="T641" t="str">
        <f>'HAULING RATES- ODOT Locations'!B22</f>
        <v>4080 Technology Dr. Maumee, Oh 43537</v>
      </c>
      <c r="U641" t="str">
        <f>'HAULING RATES- ODOT Locations'!F$8</f>
        <v>Sand</v>
      </c>
      <c r="V641" s="146">
        <f>'HAULING RATES- ODOT Locations'!F22</f>
        <v>0</v>
      </c>
      <c r="W641" s="131" t="str">
        <f>+'Aggregate, Plant Pick-up'!$C$6</f>
        <v>LAFARGE-MARBLEHEAD "OSBORNE-CLEVELAND"</v>
      </c>
      <c r="X641" s="131" t="str">
        <f>+Plant_Information!$B$10</f>
        <v>04105-28</v>
      </c>
      <c r="Y641" s="131" t="str">
        <f>+Plant_Information!$B$11</f>
        <v>2100 CENTRAL FURNACE ROAD</v>
      </c>
      <c r="Z641" s="131" t="str">
        <f>+Plant_Information!$B$12</f>
        <v>CLEVELAND, OH, 44115</v>
      </c>
      <c r="AA641" s="131" t="str">
        <f>+Plant_Information!$B$13</f>
        <v>12</v>
      </c>
      <c r="AB641" s="131" t="str">
        <f>+Plant_Information!$B$14</f>
        <v>CUY</v>
      </c>
      <c r="AC641" s="70"/>
    </row>
    <row r="642" spans="17:29" x14ac:dyDescent="0.2">
      <c r="Q642" t="str">
        <f>Plant_Information!$B$6</f>
        <v>(INSERT VENDOR NAME HERE)</v>
      </c>
      <c r="R642" t="str">
        <f>'HAULING RATES- ODOT Locations'!$A$17</f>
        <v>District 2</v>
      </c>
      <c r="S642" t="str">
        <f>'HAULING RATES- ODOT Locations'!A23</f>
        <v>Ottawa</v>
      </c>
      <c r="T642" t="str">
        <f>'HAULING RATES- ODOT Locations'!B23</f>
        <v>307 S. Railroad St., Oak Harbor</v>
      </c>
      <c r="U642" t="str">
        <f>'HAULING RATES- ODOT Locations'!F$8</f>
        <v>Sand</v>
      </c>
      <c r="V642" s="146">
        <f>'HAULING RATES- ODOT Locations'!F23</f>
        <v>0</v>
      </c>
      <c r="W642" s="131" t="str">
        <f>+'Aggregate, Plant Pick-up'!$C$6</f>
        <v>LAFARGE-MARBLEHEAD "OSBORNE-CLEVELAND"</v>
      </c>
      <c r="X642" s="131" t="str">
        <f>+Plant_Information!$B$10</f>
        <v>04105-28</v>
      </c>
      <c r="Y642" s="131" t="str">
        <f>+Plant_Information!$B$11</f>
        <v>2100 CENTRAL FURNACE ROAD</v>
      </c>
      <c r="Z642" s="131" t="str">
        <f>+Plant_Information!$B$12</f>
        <v>CLEVELAND, OH, 44115</v>
      </c>
      <c r="AA642" s="131" t="str">
        <f>+Plant_Information!$B$13</f>
        <v>12</v>
      </c>
      <c r="AB642" s="131" t="str">
        <f>+Plant_Information!$B$14</f>
        <v>CUY</v>
      </c>
      <c r="AC642" s="70"/>
    </row>
    <row r="643" spans="17:29" x14ac:dyDescent="0.2">
      <c r="Q643" t="str">
        <f>Plant_Information!$B$6</f>
        <v>(INSERT VENDOR NAME HERE)</v>
      </c>
      <c r="R643" t="str">
        <f>'HAULING RATES- ODOT Locations'!$A$17</f>
        <v>District 2</v>
      </c>
      <c r="S643" t="str">
        <f>'HAULING RATES- ODOT Locations'!A24</f>
        <v>Ottawa</v>
      </c>
      <c r="T643" t="str">
        <f>'HAULING RATES- ODOT Locations'!B24</f>
        <v>Edison Bridge Outpost, 4560 E. Bayshore Rd. 43452, Port Clinton</v>
      </c>
      <c r="U643" t="str">
        <f>'HAULING RATES- ODOT Locations'!F$8</f>
        <v>Sand</v>
      </c>
      <c r="V643" s="146">
        <f>'HAULING RATES- ODOT Locations'!F24</f>
        <v>0</v>
      </c>
      <c r="W643" s="131" t="str">
        <f>+'Aggregate, Plant Pick-up'!$C$6</f>
        <v>LAFARGE-MARBLEHEAD "OSBORNE-CLEVELAND"</v>
      </c>
      <c r="X643" s="131" t="str">
        <f>+Plant_Information!$B$10</f>
        <v>04105-28</v>
      </c>
      <c r="Y643" s="131" t="str">
        <f>+Plant_Information!$B$11</f>
        <v>2100 CENTRAL FURNACE ROAD</v>
      </c>
      <c r="Z643" s="131" t="str">
        <f>+Plant_Information!$B$12</f>
        <v>CLEVELAND, OH, 44115</v>
      </c>
      <c r="AA643" s="131" t="str">
        <f>+Plant_Information!$B$13</f>
        <v>12</v>
      </c>
      <c r="AB643" s="131" t="str">
        <f>+Plant_Information!$B$14</f>
        <v>CUY</v>
      </c>
      <c r="AC643" s="70"/>
    </row>
    <row r="644" spans="17:29" x14ac:dyDescent="0.2">
      <c r="Q644" t="str">
        <f>Plant_Information!$B$6</f>
        <v>(INSERT VENDOR NAME HERE)</v>
      </c>
      <c r="R644" t="str">
        <f>'HAULING RATES- ODOT Locations'!$A$17</f>
        <v>District 2</v>
      </c>
      <c r="S644" t="str">
        <f>'HAULING RATES- ODOT Locations'!A25</f>
        <v>Sandusky</v>
      </c>
      <c r="T644" t="str">
        <f>'HAULING RATES- ODOT Locations'!B25</f>
        <v>1891 N. State Route 53, Fremont, Ohio 43420</v>
      </c>
      <c r="U644" t="str">
        <f>'HAULING RATES- ODOT Locations'!F$8</f>
        <v>Sand</v>
      </c>
      <c r="V644" s="146">
        <f>'HAULING RATES- ODOT Locations'!F25</f>
        <v>0</v>
      </c>
      <c r="W644" s="131" t="str">
        <f>+'Aggregate, Plant Pick-up'!$C$6</f>
        <v>LAFARGE-MARBLEHEAD "OSBORNE-CLEVELAND"</v>
      </c>
      <c r="X644" s="131" t="str">
        <f>+Plant_Information!$B$10</f>
        <v>04105-28</v>
      </c>
      <c r="Y644" s="131" t="str">
        <f>+Plant_Information!$B$11</f>
        <v>2100 CENTRAL FURNACE ROAD</v>
      </c>
      <c r="Z644" s="131" t="str">
        <f>+Plant_Information!$B$12</f>
        <v>CLEVELAND, OH, 44115</v>
      </c>
      <c r="AA644" s="131" t="str">
        <f>+Plant_Information!$B$13</f>
        <v>12</v>
      </c>
      <c r="AB644" s="131" t="str">
        <f>+Plant_Information!$B$14</f>
        <v>CUY</v>
      </c>
      <c r="AC644" s="70"/>
    </row>
    <row r="645" spans="17:29" x14ac:dyDescent="0.2">
      <c r="Q645" t="str">
        <f>Plant_Information!$B$6</f>
        <v>(INSERT VENDOR NAME HERE)</v>
      </c>
      <c r="R645" t="str">
        <f>'HAULING RATES- ODOT Locations'!$A$17</f>
        <v>District 2</v>
      </c>
      <c r="S645" t="str">
        <f>'HAULING RATES- ODOT Locations'!A26</f>
        <v>Seneca</v>
      </c>
      <c r="T645" t="str">
        <f>'HAULING RATES- ODOT Locations'!B26</f>
        <v>3390 S. SR 100, Tiffin</v>
      </c>
      <c r="U645" t="str">
        <f>'HAULING RATES- ODOT Locations'!F$8</f>
        <v>Sand</v>
      </c>
      <c r="V645" s="146">
        <f>'HAULING RATES- ODOT Locations'!F26</f>
        <v>0</v>
      </c>
      <c r="W645" s="131" t="str">
        <f>+'Aggregate, Plant Pick-up'!$C$6</f>
        <v>LAFARGE-MARBLEHEAD "OSBORNE-CLEVELAND"</v>
      </c>
      <c r="X645" s="131" t="str">
        <f>+Plant_Information!$B$10</f>
        <v>04105-28</v>
      </c>
      <c r="Y645" s="131" t="str">
        <f>+Plant_Information!$B$11</f>
        <v>2100 CENTRAL FURNACE ROAD</v>
      </c>
      <c r="Z645" s="131" t="str">
        <f>+Plant_Information!$B$12</f>
        <v>CLEVELAND, OH, 44115</v>
      </c>
      <c r="AA645" s="131" t="str">
        <f>+Plant_Information!$B$13</f>
        <v>12</v>
      </c>
      <c r="AB645" s="131" t="str">
        <f>+Plant_Information!$B$14</f>
        <v>CUY</v>
      </c>
      <c r="AC645" s="70"/>
    </row>
    <row r="646" spans="17:29" x14ac:dyDescent="0.2">
      <c r="Q646" t="str">
        <f>Plant_Information!$B$6</f>
        <v>(INSERT VENDOR NAME HERE)</v>
      </c>
      <c r="R646" t="str">
        <f>'HAULING RATES- ODOT Locations'!$A$17</f>
        <v>District 2</v>
      </c>
      <c r="S646" t="str">
        <f>'HAULING RATES- ODOT Locations'!A27</f>
        <v>Williams</v>
      </c>
      <c r="T646" t="str">
        <f>'HAULING RATES- ODOT Locations'!B27</f>
        <v>1825 Magda Dr., Montpelier</v>
      </c>
      <c r="U646" t="str">
        <f>'HAULING RATES- ODOT Locations'!F$8</f>
        <v>Sand</v>
      </c>
      <c r="V646" s="146">
        <f>'HAULING RATES- ODOT Locations'!F27</f>
        <v>0</v>
      </c>
      <c r="W646" s="131" t="str">
        <f>+'Aggregate, Plant Pick-up'!$C$6</f>
        <v>LAFARGE-MARBLEHEAD "OSBORNE-CLEVELAND"</v>
      </c>
      <c r="X646" s="131" t="str">
        <f>+Plant_Information!$B$10</f>
        <v>04105-28</v>
      </c>
      <c r="Y646" s="131" t="str">
        <f>+Plant_Information!$B$11</f>
        <v>2100 CENTRAL FURNACE ROAD</v>
      </c>
      <c r="Z646" s="131" t="str">
        <f>+Plant_Information!$B$12</f>
        <v>CLEVELAND, OH, 44115</v>
      </c>
      <c r="AA646" s="131" t="str">
        <f>+Plant_Information!$B$13</f>
        <v>12</v>
      </c>
      <c r="AB646" s="131" t="str">
        <f>+Plant_Information!$B$14</f>
        <v>CUY</v>
      </c>
      <c r="AC646" s="70"/>
    </row>
    <row r="647" spans="17:29" x14ac:dyDescent="0.2">
      <c r="Q647" t="str">
        <f>Plant_Information!$B$6</f>
        <v>(INSERT VENDOR NAME HERE)</v>
      </c>
      <c r="R647" t="str">
        <f>'HAULING RATES- ODOT Locations'!$A$17</f>
        <v>District 2</v>
      </c>
      <c r="S647" t="str">
        <f>'HAULING RATES- ODOT Locations'!A28</f>
        <v>Wood</v>
      </c>
      <c r="T647" t="str">
        <f>'HAULING RATES- ODOT Locations'!B28</f>
        <v>955 Mitchell Rd. Bowling Green, Oh 43402</v>
      </c>
      <c r="U647" t="str">
        <f>'HAULING RATES- ODOT Locations'!F$8</f>
        <v>Sand</v>
      </c>
      <c r="V647" s="146">
        <f>'HAULING RATES- ODOT Locations'!F28</f>
        <v>0</v>
      </c>
      <c r="W647" s="131" t="str">
        <f>+'Aggregate, Plant Pick-up'!$C$6</f>
        <v>LAFARGE-MARBLEHEAD "OSBORNE-CLEVELAND"</v>
      </c>
      <c r="X647" s="131" t="str">
        <f>+Plant_Information!$B$10</f>
        <v>04105-28</v>
      </c>
      <c r="Y647" s="131" t="str">
        <f>+Plant_Information!$B$11</f>
        <v>2100 CENTRAL FURNACE ROAD</v>
      </c>
      <c r="Z647" s="131" t="str">
        <f>+Plant_Information!$B$12</f>
        <v>CLEVELAND, OH, 44115</v>
      </c>
      <c r="AA647" s="131" t="str">
        <f>+Plant_Information!$B$13</f>
        <v>12</v>
      </c>
      <c r="AB647" s="131" t="str">
        <f>+Plant_Information!$B$14</f>
        <v>CUY</v>
      </c>
      <c r="AC647" s="70"/>
    </row>
    <row r="648" spans="17:29" x14ac:dyDescent="0.2">
      <c r="Q648" t="str">
        <f>Plant_Information!$B$6</f>
        <v>(INSERT VENDOR NAME HERE)</v>
      </c>
      <c r="R648" t="str">
        <f>'HAULING RATES- ODOT Locations'!$A$17</f>
        <v>District 2</v>
      </c>
      <c r="S648" t="str">
        <f>'HAULING RATES- ODOT Locations'!A29</f>
        <v>Wood</v>
      </c>
      <c r="T648" t="str">
        <f>'HAULING RATES- ODOT Locations'!B29</f>
        <v>1218 Business Park Dr. S, North Baltimore, OH 45872</v>
      </c>
      <c r="U648" t="str">
        <f>'HAULING RATES- ODOT Locations'!F$8</f>
        <v>Sand</v>
      </c>
      <c r="V648" s="146">
        <f>'HAULING RATES- ODOT Locations'!F29</f>
        <v>0</v>
      </c>
      <c r="W648" s="131" t="str">
        <f>+'Aggregate, Plant Pick-up'!$C$6</f>
        <v>LAFARGE-MARBLEHEAD "OSBORNE-CLEVELAND"</v>
      </c>
      <c r="X648" s="131" t="str">
        <f>+Plant_Information!$B$10</f>
        <v>04105-28</v>
      </c>
      <c r="Y648" s="131" t="str">
        <f>+Plant_Information!$B$11</f>
        <v>2100 CENTRAL FURNACE ROAD</v>
      </c>
      <c r="Z648" s="131" t="str">
        <f>+Plant_Information!$B$12</f>
        <v>CLEVELAND, OH, 44115</v>
      </c>
      <c r="AA648" s="131" t="str">
        <f>+Plant_Information!$B$13</f>
        <v>12</v>
      </c>
      <c r="AB648" s="131" t="str">
        <f>+Plant_Information!$B$14</f>
        <v>CUY</v>
      </c>
      <c r="AC648" s="70"/>
    </row>
    <row r="649" spans="17:29" x14ac:dyDescent="0.2">
      <c r="Q649" t="str">
        <f>Plant_Information!$B$6</f>
        <v>(INSERT VENDOR NAME HERE)</v>
      </c>
      <c r="R649" t="str">
        <f>'HAULING RATES- ODOT Locations'!$A$17</f>
        <v>District 2</v>
      </c>
      <c r="S649" t="str">
        <f>'HAULING RATES- ODOT Locations'!A30</f>
        <v>Wood</v>
      </c>
      <c r="T649" t="str">
        <f>'HAULING RATES- ODOT Locations'!B30</f>
        <v>200 Lemoyne Rd., Northwood</v>
      </c>
      <c r="U649" t="str">
        <f>'HAULING RATES- ODOT Locations'!F$8</f>
        <v>Sand</v>
      </c>
      <c r="V649" s="146">
        <f>'HAULING RATES- ODOT Locations'!F30</f>
        <v>0</v>
      </c>
      <c r="W649" s="131" t="str">
        <f>+'Aggregate, Plant Pick-up'!$C$6</f>
        <v>LAFARGE-MARBLEHEAD "OSBORNE-CLEVELAND"</v>
      </c>
      <c r="X649" s="131" t="str">
        <f>+Plant_Information!$B$10</f>
        <v>04105-28</v>
      </c>
      <c r="Y649" s="131" t="str">
        <f>+Plant_Information!$B$11</f>
        <v>2100 CENTRAL FURNACE ROAD</v>
      </c>
      <c r="Z649" s="131" t="str">
        <f>+Plant_Information!$B$12</f>
        <v>CLEVELAND, OH, 44115</v>
      </c>
      <c r="AA649" s="131" t="str">
        <f>+Plant_Information!$B$13</f>
        <v>12</v>
      </c>
      <c r="AB649" s="131" t="str">
        <f>+Plant_Information!$B$14</f>
        <v>CUY</v>
      </c>
      <c r="AC649" s="70"/>
    </row>
    <row r="650" spans="17:29" x14ac:dyDescent="0.2">
      <c r="Q650" t="str">
        <f>Plant_Information!$B$6</f>
        <v>(INSERT VENDOR NAME HERE)</v>
      </c>
      <c r="R650" t="str">
        <f>'HAULING RATES- ODOT Locations'!$A$31</f>
        <v>District 3</v>
      </c>
      <c r="S650" t="str">
        <f>'HAULING RATES- ODOT Locations'!A34</f>
        <v>Ashland</v>
      </c>
      <c r="T650" t="str">
        <f>'HAULING RATES- ODOT Locations'!B34</f>
        <v>946 N. Clark St., Ashland, OH 44805</v>
      </c>
      <c r="U650" t="str">
        <f>'HAULING RATES- ODOT Locations'!F$8</f>
        <v>Sand</v>
      </c>
      <c r="V650" s="146">
        <f>'HAULING RATES- ODOT Locations'!F34</f>
        <v>0</v>
      </c>
      <c r="W650" s="131" t="str">
        <f>+'Aggregate, Plant Pick-up'!$C$6</f>
        <v>LAFARGE-MARBLEHEAD "OSBORNE-CLEVELAND"</v>
      </c>
      <c r="X650" s="131" t="str">
        <f>+Plant_Information!$B$10</f>
        <v>04105-28</v>
      </c>
      <c r="Y650" s="131" t="str">
        <f>+Plant_Information!$B$11</f>
        <v>2100 CENTRAL FURNACE ROAD</v>
      </c>
      <c r="Z650" s="131" t="str">
        <f>+Plant_Information!$B$12</f>
        <v>CLEVELAND, OH, 44115</v>
      </c>
      <c r="AA650" s="131" t="str">
        <f>+Plant_Information!$B$13</f>
        <v>12</v>
      </c>
      <c r="AB650" s="131" t="str">
        <f>+Plant_Information!$B$14</f>
        <v>CUY</v>
      </c>
      <c r="AC650" s="70"/>
    </row>
    <row r="651" spans="17:29" x14ac:dyDescent="0.2">
      <c r="Q651" t="str">
        <f>Plant_Information!$B$6</f>
        <v>(INSERT VENDOR NAME HERE)</v>
      </c>
      <c r="R651" t="str">
        <f>'HAULING RATES- ODOT Locations'!$A$31</f>
        <v>District 3</v>
      </c>
      <c r="S651" t="str">
        <f>'HAULING RATES- ODOT Locations'!A35</f>
        <v>Ashland</v>
      </c>
      <c r="T651" t="str">
        <f>'HAULING RATES- ODOT Locations'!B35</f>
        <v>2595 St. Rt. 39, Perrysville, OH 44864</v>
      </c>
      <c r="U651" t="str">
        <f>'HAULING RATES- ODOT Locations'!F$8</f>
        <v>Sand</v>
      </c>
      <c r="V651" s="146">
        <f>'HAULING RATES- ODOT Locations'!F35</f>
        <v>0</v>
      </c>
      <c r="W651" s="131" t="str">
        <f>+'Aggregate, Plant Pick-up'!$C$6</f>
        <v>LAFARGE-MARBLEHEAD "OSBORNE-CLEVELAND"</v>
      </c>
      <c r="X651" s="131" t="str">
        <f>+Plant_Information!$B$10</f>
        <v>04105-28</v>
      </c>
      <c r="Y651" s="131" t="str">
        <f>+Plant_Information!$B$11</f>
        <v>2100 CENTRAL FURNACE ROAD</v>
      </c>
      <c r="Z651" s="131" t="str">
        <f>+Plant_Information!$B$12</f>
        <v>CLEVELAND, OH, 44115</v>
      </c>
      <c r="AA651" s="131" t="str">
        <f>+Plant_Information!$B$13</f>
        <v>12</v>
      </c>
      <c r="AB651" s="131" t="str">
        <f>+Plant_Information!$B$14</f>
        <v>CUY</v>
      </c>
      <c r="AC651" s="70"/>
    </row>
    <row r="652" spans="17:29" x14ac:dyDescent="0.2">
      <c r="Q652" t="str">
        <f>Plant_Information!$B$6</f>
        <v>(INSERT VENDOR NAME HERE)</v>
      </c>
      <c r="R652" t="str">
        <f>'HAULING RATES- ODOT Locations'!$A$31</f>
        <v>District 3</v>
      </c>
      <c r="S652" t="str">
        <f>'HAULING RATES- ODOT Locations'!A36</f>
        <v>Crawford</v>
      </c>
      <c r="T652" t="str">
        <f>'HAULING RATES- ODOT Locations'!B36</f>
        <v>275 Crossroads Blvd., Bucyrus OH 44820</v>
      </c>
      <c r="U652" t="str">
        <f>'HAULING RATES- ODOT Locations'!F$8</f>
        <v>Sand</v>
      </c>
      <c r="V652" s="146">
        <f>'HAULING RATES- ODOT Locations'!F36</f>
        <v>0</v>
      </c>
      <c r="W652" s="131" t="str">
        <f>+'Aggregate, Plant Pick-up'!$C$6</f>
        <v>LAFARGE-MARBLEHEAD "OSBORNE-CLEVELAND"</v>
      </c>
      <c r="X652" s="131" t="str">
        <f>+Plant_Information!$B$10</f>
        <v>04105-28</v>
      </c>
      <c r="Y652" s="131" t="str">
        <f>+Plant_Information!$B$11</f>
        <v>2100 CENTRAL FURNACE ROAD</v>
      </c>
      <c r="Z652" s="131" t="str">
        <f>+Plant_Information!$B$12</f>
        <v>CLEVELAND, OH, 44115</v>
      </c>
      <c r="AA652" s="131" t="str">
        <f>+Plant_Information!$B$13</f>
        <v>12</v>
      </c>
      <c r="AB652" s="131" t="str">
        <f>+Plant_Information!$B$14</f>
        <v>CUY</v>
      </c>
      <c r="AC652" s="70"/>
    </row>
    <row r="653" spans="17:29" x14ac:dyDescent="0.2">
      <c r="Q653" t="str">
        <f>Plant_Information!$B$6</f>
        <v>(INSERT VENDOR NAME HERE)</v>
      </c>
      <c r="R653" t="str">
        <f>'HAULING RATES- ODOT Locations'!$A$31</f>
        <v>District 3</v>
      </c>
      <c r="S653" t="str">
        <f>'HAULING RATES- ODOT Locations'!A37</f>
        <v>Erie</v>
      </c>
      <c r="T653" t="str">
        <f>'HAULING RATES- ODOT Locations'!B37</f>
        <v>165 South Huron St. , Milan, OH 44846</v>
      </c>
      <c r="U653" t="str">
        <f>'HAULING RATES- ODOT Locations'!F$8</f>
        <v>Sand</v>
      </c>
      <c r="V653" s="146">
        <f>'HAULING RATES- ODOT Locations'!F37</f>
        <v>0</v>
      </c>
      <c r="W653" s="131" t="str">
        <f>+'Aggregate, Plant Pick-up'!$C$6</f>
        <v>LAFARGE-MARBLEHEAD "OSBORNE-CLEVELAND"</v>
      </c>
      <c r="X653" s="131" t="str">
        <f>+Plant_Information!$B$10</f>
        <v>04105-28</v>
      </c>
      <c r="Y653" s="131" t="str">
        <f>+Plant_Information!$B$11</f>
        <v>2100 CENTRAL FURNACE ROAD</v>
      </c>
      <c r="Z653" s="131" t="str">
        <f>+Plant_Information!$B$12</f>
        <v>CLEVELAND, OH, 44115</v>
      </c>
      <c r="AA653" s="131" t="str">
        <f>+Plant_Information!$B$13</f>
        <v>12</v>
      </c>
      <c r="AB653" s="131" t="str">
        <f>+Plant_Information!$B$14</f>
        <v>CUY</v>
      </c>
      <c r="AC653" s="70"/>
    </row>
    <row r="654" spans="17:29" x14ac:dyDescent="0.2">
      <c r="Q654" t="str">
        <f>Plant_Information!$B$6</f>
        <v>(INSERT VENDOR NAME HERE)</v>
      </c>
      <c r="R654" t="str">
        <f>'HAULING RATES- ODOT Locations'!$A$31</f>
        <v>District 3</v>
      </c>
      <c r="S654" t="str">
        <f>'HAULING RATES- ODOT Locations'!A38</f>
        <v>Erie</v>
      </c>
      <c r="T654" t="str">
        <f>'HAULING RATES- ODOT Locations'!B38</f>
        <v>14420 Kneisel Rd., Vermilion, OH 44089</v>
      </c>
      <c r="U654" t="str">
        <f>'HAULING RATES- ODOT Locations'!F$8</f>
        <v>Sand</v>
      </c>
      <c r="V654" s="146">
        <f>'HAULING RATES- ODOT Locations'!F38</f>
        <v>0</v>
      </c>
      <c r="W654" s="131" t="str">
        <f>+'Aggregate, Plant Pick-up'!$C$6</f>
        <v>LAFARGE-MARBLEHEAD "OSBORNE-CLEVELAND"</v>
      </c>
      <c r="X654" s="131" t="str">
        <f>+Plant_Information!$B$10</f>
        <v>04105-28</v>
      </c>
      <c r="Y654" s="131" t="str">
        <f>+Plant_Information!$B$11</f>
        <v>2100 CENTRAL FURNACE ROAD</v>
      </c>
      <c r="Z654" s="131" t="str">
        <f>+Plant_Information!$B$12</f>
        <v>CLEVELAND, OH, 44115</v>
      </c>
      <c r="AA654" s="131" t="str">
        <f>+Plant_Information!$B$13</f>
        <v>12</v>
      </c>
      <c r="AB654" s="131" t="str">
        <f>+Plant_Information!$B$14</f>
        <v>CUY</v>
      </c>
      <c r="AC654" s="70"/>
    </row>
    <row r="655" spans="17:29" x14ac:dyDescent="0.2">
      <c r="Q655" t="str">
        <f>Plant_Information!$B$6</f>
        <v>(INSERT VENDOR NAME HERE)</v>
      </c>
      <c r="R655" t="str">
        <f>'HAULING RATES- ODOT Locations'!$A$31</f>
        <v>District 3</v>
      </c>
      <c r="S655" t="str">
        <f>'HAULING RATES- ODOT Locations'!A39</f>
        <v>Huron</v>
      </c>
      <c r="T655" t="str">
        <f>'HAULING RATES- ODOT Locations'!B39</f>
        <v>760 Dublin Rd., Norwalk, OH 44857</v>
      </c>
      <c r="U655" t="str">
        <f>'HAULING RATES- ODOT Locations'!F$8</f>
        <v>Sand</v>
      </c>
      <c r="V655" s="146">
        <f>'HAULING RATES- ODOT Locations'!F39</f>
        <v>0</v>
      </c>
      <c r="W655" s="131" t="str">
        <f>+'Aggregate, Plant Pick-up'!$C$6</f>
        <v>LAFARGE-MARBLEHEAD "OSBORNE-CLEVELAND"</v>
      </c>
      <c r="X655" s="131" t="str">
        <f>+Plant_Information!$B$10</f>
        <v>04105-28</v>
      </c>
      <c r="Y655" s="131" t="str">
        <f>+Plant_Information!$B$11</f>
        <v>2100 CENTRAL FURNACE ROAD</v>
      </c>
      <c r="Z655" s="131" t="str">
        <f>+Plant_Information!$B$12</f>
        <v>CLEVELAND, OH, 44115</v>
      </c>
      <c r="AA655" s="131" t="str">
        <f>+Plant_Information!$B$13</f>
        <v>12</v>
      </c>
      <c r="AB655" s="131" t="str">
        <f>+Plant_Information!$B$14</f>
        <v>CUY</v>
      </c>
      <c r="AC655" s="70"/>
    </row>
    <row r="656" spans="17:29" x14ac:dyDescent="0.2">
      <c r="Q656" t="str">
        <f>Plant_Information!$B$6</f>
        <v>(INSERT VENDOR NAME HERE)</v>
      </c>
      <c r="R656" t="str">
        <f>'HAULING RATES- ODOT Locations'!$A$31</f>
        <v>District 3</v>
      </c>
      <c r="S656" t="str">
        <f>'HAULING RATES- ODOT Locations'!A40</f>
        <v>Huron</v>
      </c>
      <c r="T656" t="str">
        <f>'HAULING RATES- ODOT Locations'!B40</f>
        <v>3000 Sandusky St. (route 61) Plymouth, Ohio 44865</v>
      </c>
      <c r="U656" t="str">
        <f>'HAULING RATES- ODOT Locations'!F$8</f>
        <v>Sand</v>
      </c>
      <c r="V656" s="146">
        <f>'HAULING RATES- ODOT Locations'!F40</f>
        <v>0</v>
      </c>
      <c r="W656" s="131" t="str">
        <f>+'Aggregate, Plant Pick-up'!$C$6</f>
        <v>LAFARGE-MARBLEHEAD "OSBORNE-CLEVELAND"</v>
      </c>
      <c r="X656" s="131" t="str">
        <f>+Plant_Information!$B$10</f>
        <v>04105-28</v>
      </c>
      <c r="Y656" s="131" t="str">
        <f>+Plant_Information!$B$11</f>
        <v>2100 CENTRAL FURNACE ROAD</v>
      </c>
      <c r="Z656" s="131" t="str">
        <f>+Plant_Information!$B$12</f>
        <v>CLEVELAND, OH, 44115</v>
      </c>
      <c r="AA656" s="131" t="str">
        <f>+Plant_Information!$B$13</f>
        <v>12</v>
      </c>
      <c r="AB656" s="131" t="str">
        <f>+Plant_Information!$B$14</f>
        <v>CUY</v>
      </c>
      <c r="AC656" s="70"/>
    </row>
    <row r="657" spans="17:29" x14ac:dyDescent="0.2">
      <c r="Q657" t="str">
        <f>Plant_Information!$B$6</f>
        <v>(INSERT VENDOR NAME HERE)</v>
      </c>
      <c r="R657" t="str">
        <f>'HAULING RATES- ODOT Locations'!$A$31</f>
        <v>District 3</v>
      </c>
      <c r="S657" t="str">
        <f>'HAULING RATES- ODOT Locations'!A41</f>
        <v>Lorain</v>
      </c>
      <c r="T657" t="str">
        <f>'HAULING RATES- ODOT Locations'!B41</f>
        <v>405 West Lorain St. &amp; S.R. 511, Oberlin, OH 44074</v>
      </c>
      <c r="U657" t="str">
        <f>'HAULING RATES- ODOT Locations'!F$8</f>
        <v>Sand</v>
      </c>
      <c r="V657" s="146">
        <f>'HAULING RATES- ODOT Locations'!F41</f>
        <v>0</v>
      </c>
      <c r="W657" s="131" t="str">
        <f>+'Aggregate, Plant Pick-up'!$C$6</f>
        <v>LAFARGE-MARBLEHEAD "OSBORNE-CLEVELAND"</v>
      </c>
      <c r="X657" s="131" t="str">
        <f>+Plant_Information!$B$10</f>
        <v>04105-28</v>
      </c>
      <c r="Y657" s="131" t="str">
        <f>+Plant_Information!$B$11</f>
        <v>2100 CENTRAL FURNACE ROAD</v>
      </c>
      <c r="Z657" s="131" t="str">
        <f>+Plant_Information!$B$12</f>
        <v>CLEVELAND, OH, 44115</v>
      </c>
      <c r="AA657" s="131" t="str">
        <f>+Plant_Information!$B$13</f>
        <v>12</v>
      </c>
      <c r="AB657" s="131" t="str">
        <f>+Plant_Information!$B$14</f>
        <v>CUY</v>
      </c>
      <c r="AC657" s="70"/>
    </row>
    <row r="658" spans="17:29" x14ac:dyDescent="0.2">
      <c r="Q658" t="str">
        <f>Plant_Information!$B$6</f>
        <v>(INSERT VENDOR NAME HERE)</v>
      </c>
      <c r="R658" t="str">
        <f>'HAULING RATES- ODOT Locations'!$A$31</f>
        <v>District 3</v>
      </c>
      <c r="S658" t="str">
        <f>'HAULING RATES- ODOT Locations'!A42</f>
        <v>Lorain</v>
      </c>
      <c r="T658" t="str">
        <f>'HAULING RATES- ODOT Locations'!B42</f>
        <v>1749 Moore Rd., Avon, OH 44011</v>
      </c>
      <c r="U658" t="str">
        <f>'HAULING RATES- ODOT Locations'!F$8</f>
        <v>Sand</v>
      </c>
      <c r="V658" s="146">
        <f>'HAULING RATES- ODOT Locations'!F42</f>
        <v>0</v>
      </c>
      <c r="W658" s="131" t="str">
        <f>+'Aggregate, Plant Pick-up'!$C$6</f>
        <v>LAFARGE-MARBLEHEAD "OSBORNE-CLEVELAND"</v>
      </c>
      <c r="X658" s="131" t="str">
        <f>+Plant_Information!$B$10</f>
        <v>04105-28</v>
      </c>
      <c r="Y658" s="131" t="str">
        <f>+Plant_Information!$B$11</f>
        <v>2100 CENTRAL FURNACE ROAD</v>
      </c>
      <c r="Z658" s="131" t="str">
        <f>+Plant_Information!$B$12</f>
        <v>CLEVELAND, OH, 44115</v>
      </c>
      <c r="AA658" s="131" t="str">
        <f>+Plant_Information!$B$13</f>
        <v>12</v>
      </c>
      <c r="AB658" s="131" t="str">
        <f>+Plant_Information!$B$14</f>
        <v>CUY</v>
      </c>
      <c r="AC658" s="70"/>
    </row>
    <row r="659" spans="17:29" x14ac:dyDescent="0.2">
      <c r="Q659" t="str">
        <f>Plant_Information!$B$6</f>
        <v>(INSERT VENDOR NAME HERE)</v>
      </c>
      <c r="R659" t="str">
        <f>'HAULING RATES- ODOT Locations'!$A$31</f>
        <v>District 3</v>
      </c>
      <c r="S659" t="str">
        <f>'HAULING RATES- ODOT Locations'!A43</f>
        <v>Lorain</v>
      </c>
      <c r="T659" t="str">
        <f>'HAULING RATES- ODOT Locations'!B43</f>
        <v>1654 South Avon Belden Road, Grafton, Ohio 44044</v>
      </c>
      <c r="U659" t="str">
        <f>'HAULING RATES- ODOT Locations'!F$8</f>
        <v>Sand</v>
      </c>
      <c r="V659" s="146">
        <f>'HAULING RATES- ODOT Locations'!F43</f>
        <v>0</v>
      </c>
      <c r="W659" s="131" t="str">
        <f>+'Aggregate, Plant Pick-up'!$C$6</f>
        <v>LAFARGE-MARBLEHEAD "OSBORNE-CLEVELAND"</v>
      </c>
      <c r="X659" s="131" t="str">
        <f>+Plant_Information!$B$10</f>
        <v>04105-28</v>
      </c>
      <c r="Y659" s="131" t="str">
        <f>+Plant_Information!$B$11</f>
        <v>2100 CENTRAL FURNACE ROAD</v>
      </c>
      <c r="Z659" s="131" t="str">
        <f>+Plant_Information!$B$12</f>
        <v>CLEVELAND, OH, 44115</v>
      </c>
      <c r="AA659" s="131" t="str">
        <f>+Plant_Information!$B$13</f>
        <v>12</v>
      </c>
      <c r="AB659" s="131" t="str">
        <f>+Plant_Information!$B$14</f>
        <v>CUY</v>
      </c>
      <c r="AC659" s="70"/>
    </row>
    <row r="660" spans="17:29" x14ac:dyDescent="0.2">
      <c r="Q660" t="str">
        <f>Plant_Information!$B$6</f>
        <v>(INSERT VENDOR NAME HERE)</v>
      </c>
      <c r="R660" t="str">
        <f>'HAULING RATES- ODOT Locations'!$A$31</f>
        <v>District 3</v>
      </c>
      <c r="S660" t="str">
        <f>'HAULING RATES- ODOT Locations'!A44</f>
        <v>Medina</v>
      </c>
      <c r="T660" t="str">
        <f>'HAULING RATES- ODOT Locations'!B44</f>
        <v>3220 Medina Rd. &amp; St. Rt. 18, Medina, OH 44256</v>
      </c>
      <c r="U660" t="str">
        <f>'HAULING RATES- ODOT Locations'!F$8</f>
        <v>Sand</v>
      </c>
      <c r="V660" s="146">
        <f>'HAULING RATES- ODOT Locations'!F44</f>
        <v>0</v>
      </c>
      <c r="W660" s="131" t="str">
        <f>+'Aggregate, Plant Pick-up'!$C$6</f>
        <v>LAFARGE-MARBLEHEAD "OSBORNE-CLEVELAND"</v>
      </c>
      <c r="X660" s="131" t="str">
        <f>+Plant_Information!$B$10</f>
        <v>04105-28</v>
      </c>
      <c r="Y660" s="131" t="str">
        <f>+Plant_Information!$B$11</f>
        <v>2100 CENTRAL FURNACE ROAD</v>
      </c>
      <c r="Z660" s="131" t="str">
        <f>+Plant_Information!$B$12</f>
        <v>CLEVELAND, OH, 44115</v>
      </c>
      <c r="AA660" s="131" t="str">
        <f>+Plant_Information!$B$13</f>
        <v>12</v>
      </c>
      <c r="AB660" s="131" t="str">
        <f>+Plant_Information!$B$14</f>
        <v>CUY</v>
      </c>
      <c r="AC660" s="70"/>
    </row>
    <row r="661" spans="17:29" x14ac:dyDescent="0.2">
      <c r="Q661" t="str">
        <f>Plant_Information!$B$6</f>
        <v>(INSERT VENDOR NAME HERE)</v>
      </c>
      <c r="R661" t="str">
        <f>'HAULING RATES- ODOT Locations'!$A$31</f>
        <v>District 3</v>
      </c>
      <c r="S661" t="str">
        <f>'HAULING RATES- ODOT Locations'!A45</f>
        <v>Medina</v>
      </c>
      <c r="T661" t="str">
        <f>'HAULING RATES- ODOT Locations'!B45</f>
        <v>10224 Avon Lake Rd, Burbank, OH 44214</v>
      </c>
      <c r="U661" t="str">
        <f>'HAULING RATES- ODOT Locations'!F$8</f>
        <v>Sand</v>
      </c>
      <c r="V661" s="146">
        <f>'HAULING RATES- ODOT Locations'!F45</f>
        <v>0</v>
      </c>
      <c r="W661" s="131" t="str">
        <f>+'Aggregate, Plant Pick-up'!$C$6</f>
        <v>LAFARGE-MARBLEHEAD "OSBORNE-CLEVELAND"</v>
      </c>
      <c r="X661" s="131" t="str">
        <f>+Plant_Information!$B$10</f>
        <v>04105-28</v>
      </c>
      <c r="Y661" s="131" t="str">
        <f>+Plant_Information!$B$11</f>
        <v>2100 CENTRAL FURNACE ROAD</v>
      </c>
      <c r="Z661" s="131" t="str">
        <f>+Plant_Information!$B$12</f>
        <v>CLEVELAND, OH, 44115</v>
      </c>
      <c r="AA661" s="131" t="str">
        <f>+Plant_Information!$B$13</f>
        <v>12</v>
      </c>
      <c r="AB661" s="131" t="str">
        <f>+Plant_Information!$B$14</f>
        <v>CUY</v>
      </c>
      <c r="AC661" s="70"/>
    </row>
    <row r="662" spans="17:29" x14ac:dyDescent="0.2">
      <c r="Q662" t="str">
        <f>Plant_Information!$B$6</f>
        <v>(INSERT VENDOR NAME HERE)</v>
      </c>
      <c r="R662" t="str">
        <f>'HAULING RATES- ODOT Locations'!$A$31</f>
        <v>District 3</v>
      </c>
      <c r="S662" t="str">
        <f>'HAULING RATES- ODOT Locations'!A46</f>
        <v>Medina</v>
      </c>
      <c r="T662" t="str">
        <f>'HAULING RATES- ODOT Locations'!B46</f>
        <v>4993 Atlantic Drive Seville Ohio, 44273</v>
      </c>
      <c r="U662" t="str">
        <f>'HAULING RATES- ODOT Locations'!F$8</f>
        <v>Sand</v>
      </c>
      <c r="V662" s="146">
        <f>'HAULING RATES- ODOT Locations'!F46</f>
        <v>0</v>
      </c>
      <c r="W662" s="131" t="str">
        <f>+'Aggregate, Plant Pick-up'!$C$6</f>
        <v>LAFARGE-MARBLEHEAD "OSBORNE-CLEVELAND"</v>
      </c>
      <c r="X662" s="131" t="str">
        <f>+Plant_Information!$B$10</f>
        <v>04105-28</v>
      </c>
      <c r="Y662" s="131" t="str">
        <f>+Plant_Information!$B$11</f>
        <v>2100 CENTRAL FURNACE ROAD</v>
      </c>
      <c r="Z662" s="131" t="str">
        <f>+Plant_Information!$B$12</f>
        <v>CLEVELAND, OH, 44115</v>
      </c>
      <c r="AA662" s="131" t="str">
        <f>+Plant_Information!$B$13</f>
        <v>12</v>
      </c>
      <c r="AB662" s="131" t="str">
        <f>+Plant_Information!$B$14</f>
        <v>CUY</v>
      </c>
      <c r="AC662" s="70"/>
    </row>
    <row r="663" spans="17:29" x14ac:dyDescent="0.2">
      <c r="Q663" t="str">
        <f>Plant_Information!$B$6</f>
        <v>(INSERT VENDOR NAME HERE)</v>
      </c>
      <c r="R663" t="str">
        <f>'HAULING RATES- ODOT Locations'!$A$31</f>
        <v>District 3</v>
      </c>
      <c r="S663" t="str">
        <f>'HAULING RATES- ODOT Locations'!A47</f>
        <v>Richland</v>
      </c>
      <c r="T663" t="str">
        <f>'HAULING RATES- ODOT Locations'!B47</f>
        <v>1256 West 4th St., Mansfield, OH 44906</v>
      </c>
      <c r="U663" t="str">
        <f>'HAULING RATES- ODOT Locations'!F$8</f>
        <v>Sand</v>
      </c>
      <c r="V663" s="146">
        <f>'HAULING RATES- ODOT Locations'!F47</f>
        <v>0</v>
      </c>
      <c r="W663" s="131" t="str">
        <f>+'Aggregate, Plant Pick-up'!$C$6</f>
        <v>LAFARGE-MARBLEHEAD "OSBORNE-CLEVELAND"</v>
      </c>
      <c r="X663" s="131" t="str">
        <f>+Plant_Information!$B$10</f>
        <v>04105-28</v>
      </c>
      <c r="Y663" s="131" t="str">
        <f>+Plant_Information!$B$11</f>
        <v>2100 CENTRAL FURNACE ROAD</v>
      </c>
      <c r="Z663" s="131" t="str">
        <f>+Plant_Information!$B$12</f>
        <v>CLEVELAND, OH, 44115</v>
      </c>
      <c r="AA663" s="131" t="str">
        <f>+Plant_Information!$B$13</f>
        <v>12</v>
      </c>
      <c r="AB663" s="131" t="str">
        <f>+Plant_Information!$B$14</f>
        <v>CUY</v>
      </c>
      <c r="AC663" s="70"/>
    </row>
    <row r="664" spans="17:29" x14ac:dyDescent="0.2">
      <c r="Q664" t="str">
        <f>Plant_Information!$B$6</f>
        <v>(INSERT VENDOR NAME HERE)</v>
      </c>
      <c r="R664" t="str">
        <f>'HAULING RATES- ODOT Locations'!$A$31</f>
        <v>District 3</v>
      </c>
      <c r="S664" t="str">
        <f>'HAULING RATES- ODOT Locations'!A48</f>
        <v>Richland</v>
      </c>
      <c r="T664" t="str">
        <f>'HAULING RATES- ODOT Locations'!B48</f>
        <v>Lexington OP, 808 Kochheiser Rd., Bellville,, OH 44813</v>
      </c>
      <c r="U664" t="str">
        <f>'HAULING RATES- ODOT Locations'!F$8</f>
        <v>Sand</v>
      </c>
      <c r="V664" s="146">
        <f>'HAULING RATES- ODOT Locations'!F48</f>
        <v>0</v>
      </c>
      <c r="W664" s="131" t="str">
        <f>+'Aggregate, Plant Pick-up'!$C$6</f>
        <v>LAFARGE-MARBLEHEAD "OSBORNE-CLEVELAND"</v>
      </c>
      <c r="X664" s="131" t="str">
        <f>+Plant_Information!$B$10</f>
        <v>04105-28</v>
      </c>
      <c r="Y664" s="131" t="str">
        <f>+Plant_Information!$B$11</f>
        <v>2100 CENTRAL FURNACE ROAD</v>
      </c>
      <c r="Z664" s="131" t="str">
        <f>+Plant_Information!$B$12</f>
        <v>CLEVELAND, OH, 44115</v>
      </c>
      <c r="AA664" s="131" t="str">
        <f>+Plant_Information!$B$13</f>
        <v>12</v>
      </c>
      <c r="AB664" s="131" t="str">
        <f>+Plant_Information!$B$14</f>
        <v>CUY</v>
      </c>
      <c r="AC664" s="70"/>
    </row>
    <row r="665" spans="17:29" x14ac:dyDescent="0.2">
      <c r="Q665" t="str">
        <f>Plant_Information!$B$6</f>
        <v>(INSERT VENDOR NAME HERE)</v>
      </c>
      <c r="R665" t="str">
        <f>'HAULING RATES- ODOT Locations'!$A$31</f>
        <v>District 3</v>
      </c>
      <c r="S665" t="str">
        <f>'HAULING RATES- ODOT Locations'!A49</f>
        <v>Wayne</v>
      </c>
      <c r="T665" t="str">
        <f>'HAULING RATES- ODOT Locations'!B49</f>
        <v>1661 Geyers Chapel Rd., Wooster, OH 44691</v>
      </c>
      <c r="U665" t="str">
        <f>'HAULING RATES- ODOT Locations'!F$8</f>
        <v>Sand</v>
      </c>
      <c r="V665" s="146">
        <f>'HAULING RATES- ODOT Locations'!F49</f>
        <v>0</v>
      </c>
      <c r="W665" s="131" t="str">
        <f>+'Aggregate, Plant Pick-up'!$C$6</f>
        <v>LAFARGE-MARBLEHEAD "OSBORNE-CLEVELAND"</v>
      </c>
      <c r="X665" s="131" t="str">
        <f>+Plant_Information!$B$10</f>
        <v>04105-28</v>
      </c>
      <c r="Y665" s="131" t="str">
        <f>+Plant_Information!$B$11</f>
        <v>2100 CENTRAL FURNACE ROAD</v>
      </c>
      <c r="Z665" s="131" t="str">
        <f>+Plant_Information!$B$12</f>
        <v>CLEVELAND, OH, 44115</v>
      </c>
      <c r="AA665" s="131" t="str">
        <f>+Plant_Information!$B$13</f>
        <v>12</v>
      </c>
      <c r="AB665" s="131" t="str">
        <f>+Plant_Information!$B$14</f>
        <v>CUY</v>
      </c>
      <c r="AC665" s="70"/>
    </row>
    <row r="666" spans="17:29" x14ac:dyDescent="0.2">
      <c r="Q666" t="str">
        <f>Plant_Information!$B$6</f>
        <v>(INSERT VENDOR NAME HERE)</v>
      </c>
      <c r="R666" t="str">
        <f>'HAULING RATES- ODOT Locations'!$A$50</f>
        <v>District 4</v>
      </c>
      <c r="S666" t="str">
        <f>'HAULING RATES- ODOT Locations'!A53</f>
        <v>Ashtabula</v>
      </c>
      <c r="T666" t="str">
        <f>'HAULING RATES- ODOT Locations'!B53</f>
        <v>492 Seven Hills Rd., Ashtabula, OH  44004</v>
      </c>
      <c r="U666" t="str">
        <f>'HAULING RATES- ODOT Locations'!F$8</f>
        <v>Sand</v>
      </c>
      <c r="V666" s="146">
        <f>'HAULING RATES- ODOT Locations'!F53</f>
        <v>0</v>
      </c>
      <c r="W666" s="131" t="str">
        <f>+'Aggregate, Plant Pick-up'!$C$6</f>
        <v>LAFARGE-MARBLEHEAD "OSBORNE-CLEVELAND"</v>
      </c>
      <c r="X666" s="131" t="str">
        <f>+Plant_Information!$B$10</f>
        <v>04105-28</v>
      </c>
      <c r="Y666" s="131" t="str">
        <f>+Plant_Information!$B$11</f>
        <v>2100 CENTRAL FURNACE ROAD</v>
      </c>
      <c r="Z666" s="131" t="str">
        <f>+Plant_Information!$B$12</f>
        <v>CLEVELAND, OH, 44115</v>
      </c>
      <c r="AA666" s="131" t="str">
        <f>+Plant_Information!$B$13</f>
        <v>12</v>
      </c>
      <c r="AB666" s="131" t="str">
        <f>+Plant_Information!$B$14</f>
        <v>CUY</v>
      </c>
      <c r="AC666" s="70"/>
    </row>
    <row r="667" spans="17:29" x14ac:dyDescent="0.2">
      <c r="Q667" t="str">
        <f>Plant_Information!$B$6</f>
        <v>(INSERT VENDOR NAME HERE)</v>
      </c>
      <c r="R667" t="str">
        <f>'HAULING RATES- ODOT Locations'!$A$50</f>
        <v>District 4</v>
      </c>
      <c r="S667" t="str">
        <f>'HAULING RATES- ODOT Locations'!A54</f>
        <v>Ashtabula</v>
      </c>
      <c r="T667" t="str">
        <f>'HAULING RATES- ODOT Locations'!B54</f>
        <v>879 SR 7, Conneaut, OH  44030</v>
      </c>
      <c r="U667" t="str">
        <f>'HAULING RATES- ODOT Locations'!F$8</f>
        <v>Sand</v>
      </c>
      <c r="V667" s="146">
        <f>'HAULING RATES- ODOT Locations'!F54</f>
        <v>0</v>
      </c>
      <c r="W667" s="131" t="str">
        <f>+'Aggregate, Plant Pick-up'!$C$6</f>
        <v>LAFARGE-MARBLEHEAD "OSBORNE-CLEVELAND"</v>
      </c>
      <c r="X667" s="131" t="str">
        <f>+Plant_Information!$B$10</f>
        <v>04105-28</v>
      </c>
      <c r="Y667" s="131" t="str">
        <f>+Plant_Information!$B$11</f>
        <v>2100 CENTRAL FURNACE ROAD</v>
      </c>
      <c r="Z667" s="131" t="str">
        <f>+Plant_Information!$B$12</f>
        <v>CLEVELAND, OH, 44115</v>
      </c>
      <c r="AA667" s="131" t="str">
        <f>+Plant_Information!$B$13</f>
        <v>12</v>
      </c>
      <c r="AB667" s="131" t="str">
        <f>+Plant_Information!$B$14</f>
        <v>CUY</v>
      </c>
      <c r="AC667" s="70"/>
    </row>
    <row r="668" spans="17:29" x14ac:dyDescent="0.2">
      <c r="Q668" t="str">
        <f>Plant_Information!$B$6</f>
        <v>(INSERT VENDOR NAME HERE)</v>
      </c>
      <c r="R668" t="str">
        <f>'HAULING RATES- ODOT Locations'!$A$50</f>
        <v>District 4</v>
      </c>
      <c r="S668" t="str">
        <f>'HAULING RATES- ODOT Locations'!A55</f>
        <v>Ashtabula</v>
      </c>
      <c r="T668" t="str">
        <f>'HAULING RATES- ODOT Locations'!B55</f>
        <v>2325 SR 193, Dorset, OH   44032</v>
      </c>
      <c r="U668" t="str">
        <f>'HAULING RATES- ODOT Locations'!F$8</f>
        <v>Sand</v>
      </c>
      <c r="V668" s="146">
        <f>'HAULING RATES- ODOT Locations'!F55</f>
        <v>0</v>
      </c>
      <c r="W668" s="131" t="str">
        <f>+'Aggregate, Plant Pick-up'!$C$6</f>
        <v>LAFARGE-MARBLEHEAD "OSBORNE-CLEVELAND"</v>
      </c>
      <c r="X668" s="131" t="str">
        <f>+Plant_Information!$B$10</f>
        <v>04105-28</v>
      </c>
      <c r="Y668" s="131" t="str">
        <f>+Plant_Information!$B$11</f>
        <v>2100 CENTRAL FURNACE ROAD</v>
      </c>
      <c r="Z668" s="131" t="str">
        <f>+Plant_Information!$B$12</f>
        <v>CLEVELAND, OH, 44115</v>
      </c>
      <c r="AA668" s="131" t="str">
        <f>+Plant_Information!$B$13</f>
        <v>12</v>
      </c>
      <c r="AB668" s="131" t="str">
        <f>+Plant_Information!$B$14</f>
        <v>CUY</v>
      </c>
      <c r="AC668" s="70"/>
    </row>
    <row r="669" spans="17:29" x14ac:dyDescent="0.2">
      <c r="Q669" t="str">
        <f>Plant_Information!$B$6</f>
        <v>(INSERT VENDOR NAME HERE)</v>
      </c>
      <c r="R669" t="str">
        <f>'HAULING RATES- ODOT Locations'!$A$50</f>
        <v>District 4</v>
      </c>
      <c r="S669" t="str">
        <f>'HAULING RATES- ODOT Locations'!A56</f>
        <v>Ashtabula</v>
      </c>
      <c r="T669" t="str">
        <f>'HAULING RATES- ODOT Locations'!B56</f>
        <v>Harpersfield OP, 5420 SR 534, Geneva, OH    44041</v>
      </c>
      <c r="U669" t="str">
        <f>'HAULING RATES- ODOT Locations'!F$8</f>
        <v>Sand</v>
      </c>
      <c r="V669" s="146">
        <f>'HAULING RATES- ODOT Locations'!F56</f>
        <v>0</v>
      </c>
      <c r="W669" s="131" t="str">
        <f>+'Aggregate, Plant Pick-up'!$C$6</f>
        <v>LAFARGE-MARBLEHEAD "OSBORNE-CLEVELAND"</v>
      </c>
      <c r="X669" s="131" t="str">
        <f>+Plant_Information!$B$10</f>
        <v>04105-28</v>
      </c>
      <c r="Y669" s="131" t="str">
        <f>+Plant_Information!$B$11</f>
        <v>2100 CENTRAL FURNACE ROAD</v>
      </c>
      <c r="Z669" s="131" t="str">
        <f>+Plant_Information!$B$12</f>
        <v>CLEVELAND, OH, 44115</v>
      </c>
      <c r="AA669" s="131" t="str">
        <f>+Plant_Information!$B$13</f>
        <v>12</v>
      </c>
      <c r="AB669" s="131" t="str">
        <f>+Plant_Information!$B$14</f>
        <v>CUY</v>
      </c>
      <c r="AC669" s="70"/>
    </row>
    <row r="670" spans="17:29" x14ac:dyDescent="0.2">
      <c r="Q670" t="str">
        <f>Plant_Information!$B$6</f>
        <v>(INSERT VENDOR NAME HERE)</v>
      </c>
      <c r="R670" t="str">
        <f>'HAULING RATES- ODOT Locations'!$A$50</f>
        <v>District 4</v>
      </c>
      <c r="S670" t="str">
        <f>'HAULING RATES- ODOT Locations'!A57</f>
        <v>Ashtabula</v>
      </c>
      <c r="T670" t="str">
        <f>'HAULING RATES- ODOT Locations'!B57</f>
        <v>5451 SR 45, Rome, OH   44085</v>
      </c>
      <c r="U670" t="str">
        <f>'HAULING RATES- ODOT Locations'!F$8</f>
        <v>Sand</v>
      </c>
      <c r="V670" s="146">
        <f>'HAULING RATES- ODOT Locations'!F57</f>
        <v>0</v>
      </c>
      <c r="W670" s="131" t="str">
        <f>+'Aggregate, Plant Pick-up'!$C$6</f>
        <v>LAFARGE-MARBLEHEAD "OSBORNE-CLEVELAND"</v>
      </c>
      <c r="X670" s="131" t="str">
        <f>+Plant_Information!$B$10</f>
        <v>04105-28</v>
      </c>
      <c r="Y670" s="131" t="str">
        <f>+Plant_Information!$B$11</f>
        <v>2100 CENTRAL FURNACE ROAD</v>
      </c>
      <c r="Z670" s="131" t="str">
        <f>+Plant_Information!$B$12</f>
        <v>CLEVELAND, OH, 44115</v>
      </c>
      <c r="AA670" s="131" t="str">
        <f>+Plant_Information!$B$13</f>
        <v>12</v>
      </c>
      <c r="AB670" s="131" t="str">
        <f>+Plant_Information!$B$14</f>
        <v>CUY</v>
      </c>
      <c r="AC670" s="70"/>
    </row>
    <row r="671" spans="17:29" x14ac:dyDescent="0.2">
      <c r="Q671" t="str">
        <f>Plant_Information!$B$6</f>
        <v>(INSERT VENDOR NAME HERE)</v>
      </c>
      <c r="R671" t="str">
        <f>'HAULING RATES- ODOT Locations'!$A$50</f>
        <v>District 4</v>
      </c>
      <c r="S671" t="str">
        <f>'HAULING RATES- ODOT Locations'!A58</f>
        <v>Ashtabula</v>
      </c>
      <c r="T671" t="str">
        <f>'HAULING RATES- ODOT Locations'!B58</f>
        <v>5820 SR 322, Williamsfield, OH  44093</v>
      </c>
      <c r="U671" t="str">
        <f>'HAULING RATES- ODOT Locations'!F$8</f>
        <v>Sand</v>
      </c>
      <c r="V671" s="146">
        <f>'HAULING RATES- ODOT Locations'!F58</f>
        <v>0</v>
      </c>
      <c r="W671" s="131" t="str">
        <f>+'Aggregate, Plant Pick-up'!$C$6</f>
        <v>LAFARGE-MARBLEHEAD "OSBORNE-CLEVELAND"</v>
      </c>
      <c r="X671" s="131" t="str">
        <f>+Plant_Information!$B$10</f>
        <v>04105-28</v>
      </c>
      <c r="Y671" s="131" t="str">
        <f>+Plant_Information!$B$11</f>
        <v>2100 CENTRAL FURNACE ROAD</v>
      </c>
      <c r="Z671" s="131" t="str">
        <f>+Plant_Information!$B$12</f>
        <v>CLEVELAND, OH, 44115</v>
      </c>
      <c r="AA671" s="131" t="str">
        <f>+Plant_Information!$B$13</f>
        <v>12</v>
      </c>
      <c r="AB671" s="131" t="str">
        <f>+Plant_Information!$B$14</f>
        <v>CUY</v>
      </c>
      <c r="AC671" s="70"/>
    </row>
    <row r="672" spans="17:29" x14ac:dyDescent="0.2">
      <c r="Q672" t="str">
        <f>Plant_Information!$B$6</f>
        <v>(INSERT VENDOR NAME HERE)</v>
      </c>
      <c r="R672" t="str">
        <f>'HAULING RATES- ODOT Locations'!$A$50</f>
        <v>District 4</v>
      </c>
      <c r="S672" t="str">
        <f>'HAULING RATES- ODOT Locations'!A59</f>
        <v>Mahoning</v>
      </c>
      <c r="T672" t="str">
        <f>'HAULING RATES- ODOT Locations'!B59</f>
        <v>401 W. Main St., Canfield, OH  44406</v>
      </c>
      <c r="U672" t="str">
        <f>'HAULING RATES- ODOT Locations'!F$8</f>
        <v>Sand</v>
      </c>
      <c r="V672" s="146">
        <f>'HAULING RATES- ODOT Locations'!F59</f>
        <v>0</v>
      </c>
      <c r="W672" s="131" t="str">
        <f>+'Aggregate, Plant Pick-up'!$C$6</f>
        <v>LAFARGE-MARBLEHEAD "OSBORNE-CLEVELAND"</v>
      </c>
      <c r="X672" s="131" t="str">
        <f>+Plant_Information!$B$10</f>
        <v>04105-28</v>
      </c>
      <c r="Y672" s="131" t="str">
        <f>+Plant_Information!$B$11</f>
        <v>2100 CENTRAL FURNACE ROAD</v>
      </c>
      <c r="Z672" s="131" t="str">
        <f>+Plant_Information!$B$12</f>
        <v>CLEVELAND, OH, 44115</v>
      </c>
      <c r="AA672" s="131" t="str">
        <f>+Plant_Information!$B$13</f>
        <v>12</v>
      </c>
      <c r="AB672" s="131" t="str">
        <f>+Plant_Information!$B$14</f>
        <v>CUY</v>
      </c>
      <c r="AC672" s="70"/>
    </row>
    <row r="673" spans="17:29" x14ac:dyDescent="0.2">
      <c r="Q673" t="str">
        <f>Plant_Information!$B$6</f>
        <v>(INSERT VENDOR NAME HERE)</v>
      </c>
      <c r="R673" t="str">
        <f>'HAULING RATES- ODOT Locations'!$A$50</f>
        <v>District 4</v>
      </c>
      <c r="S673" t="str">
        <f>'HAULING RATES- ODOT Locations'!A60</f>
        <v>Mahoning</v>
      </c>
      <c r="T673" t="str">
        <f>'HAULING RATES- ODOT Locations'!B60</f>
        <v>385 N. Bailey Rd., North Jackson, OH   44451</v>
      </c>
      <c r="U673" t="str">
        <f>'HAULING RATES- ODOT Locations'!F$8</f>
        <v>Sand</v>
      </c>
      <c r="V673" s="146">
        <f>'HAULING RATES- ODOT Locations'!F60</f>
        <v>0</v>
      </c>
      <c r="W673" s="131" t="str">
        <f>+'Aggregate, Plant Pick-up'!$C$6</f>
        <v>LAFARGE-MARBLEHEAD "OSBORNE-CLEVELAND"</v>
      </c>
      <c r="X673" s="131" t="str">
        <f>+Plant_Information!$B$10</f>
        <v>04105-28</v>
      </c>
      <c r="Y673" s="131" t="str">
        <f>+Plant_Information!$B$11</f>
        <v>2100 CENTRAL FURNACE ROAD</v>
      </c>
      <c r="Z673" s="131" t="str">
        <f>+Plant_Information!$B$12</f>
        <v>CLEVELAND, OH, 44115</v>
      </c>
      <c r="AA673" s="131" t="str">
        <f>+Plant_Information!$B$13</f>
        <v>12</v>
      </c>
      <c r="AB673" s="131" t="str">
        <f>+Plant_Information!$B$14</f>
        <v>CUY</v>
      </c>
      <c r="AC673" s="70"/>
    </row>
    <row r="674" spans="17:29" x14ac:dyDescent="0.2">
      <c r="Q674" t="str">
        <f>Plant_Information!$B$6</f>
        <v>(INSERT VENDOR NAME HERE)</v>
      </c>
      <c r="R674" t="str">
        <f>'HAULING RATES- ODOT Locations'!$A$50</f>
        <v>District 4</v>
      </c>
      <c r="S674" t="str">
        <f>'HAULING RATES- ODOT Locations'!A61</f>
        <v>Mahoning</v>
      </c>
      <c r="T674" t="str">
        <f>'HAULING RATES- ODOT Locations'!B61</f>
        <v>10720 Market St., N. Lima, OH    44452</v>
      </c>
      <c r="U674" t="str">
        <f>'HAULING RATES- ODOT Locations'!F$8</f>
        <v>Sand</v>
      </c>
      <c r="V674" s="146">
        <f>'HAULING RATES- ODOT Locations'!F61</f>
        <v>0</v>
      </c>
      <c r="W674" s="131" t="str">
        <f>+'Aggregate, Plant Pick-up'!$C$6</f>
        <v>LAFARGE-MARBLEHEAD "OSBORNE-CLEVELAND"</v>
      </c>
      <c r="X674" s="131" t="str">
        <f>+Plant_Information!$B$10</f>
        <v>04105-28</v>
      </c>
      <c r="Y674" s="131" t="str">
        <f>+Plant_Information!$B$11</f>
        <v>2100 CENTRAL FURNACE ROAD</v>
      </c>
      <c r="Z674" s="131" t="str">
        <f>+Plant_Information!$B$12</f>
        <v>CLEVELAND, OH, 44115</v>
      </c>
      <c r="AA674" s="131" t="str">
        <f>+Plant_Information!$B$13</f>
        <v>12</v>
      </c>
      <c r="AB674" s="131" t="str">
        <f>+Plant_Information!$B$14</f>
        <v>CUY</v>
      </c>
      <c r="AC674" s="70"/>
    </row>
    <row r="675" spans="17:29" x14ac:dyDescent="0.2">
      <c r="Q675" t="str">
        <f>Plant_Information!$B$6</f>
        <v>(INSERT VENDOR NAME HERE)</v>
      </c>
      <c r="R675" t="str">
        <f>'HAULING RATES- ODOT Locations'!$A$50</f>
        <v>District 4</v>
      </c>
      <c r="S675" t="str">
        <f>'HAULING RATES- ODOT Locations'!A62</f>
        <v>Mahoning</v>
      </c>
      <c r="T675" t="str">
        <f>'HAULING RATES- ODOT Locations'!B62</f>
        <v>Intersection SR14 &amp; Pricetown Road, Beloit, OH, 44609</v>
      </c>
      <c r="U675" t="str">
        <f>'HAULING RATES- ODOT Locations'!F$8</f>
        <v>Sand</v>
      </c>
      <c r="V675" s="146">
        <f>'HAULING RATES- ODOT Locations'!F62</f>
        <v>0</v>
      </c>
      <c r="W675" s="131" t="str">
        <f>+'Aggregate, Plant Pick-up'!$C$6</f>
        <v>LAFARGE-MARBLEHEAD "OSBORNE-CLEVELAND"</v>
      </c>
      <c r="X675" s="131" t="str">
        <f>+Plant_Information!$B$10</f>
        <v>04105-28</v>
      </c>
      <c r="Y675" s="131" t="str">
        <f>+Plant_Information!$B$11</f>
        <v>2100 CENTRAL FURNACE ROAD</v>
      </c>
      <c r="Z675" s="131" t="str">
        <f>+Plant_Information!$B$12</f>
        <v>CLEVELAND, OH, 44115</v>
      </c>
      <c r="AA675" s="131" t="str">
        <f>+Plant_Information!$B$13</f>
        <v>12</v>
      </c>
      <c r="AB675" s="131" t="str">
        <f>+Plant_Information!$B$14</f>
        <v>CUY</v>
      </c>
      <c r="AC675" s="70"/>
    </row>
    <row r="676" spans="17:29" x14ac:dyDescent="0.2">
      <c r="Q676" t="str">
        <f>Plant_Information!$B$6</f>
        <v>(INSERT VENDOR NAME HERE)</v>
      </c>
      <c r="R676" t="str">
        <f>'HAULING RATES- ODOT Locations'!$A$50</f>
        <v>District 4</v>
      </c>
      <c r="S676" t="str">
        <f>'HAULING RATES- ODOT Locations'!A63</f>
        <v>Mahoning</v>
      </c>
      <c r="T676" t="str">
        <f>'HAULING RATES- ODOT Locations'!B63</f>
        <v>South Avenue OP, I-680 &amp; South Ave. (Mp7) 1510 S. Ave., Youngstown, OH   44502</v>
      </c>
      <c r="U676" t="str">
        <f>'HAULING RATES- ODOT Locations'!F$8</f>
        <v>Sand</v>
      </c>
      <c r="V676" s="146">
        <f>'HAULING RATES- ODOT Locations'!F63</f>
        <v>0</v>
      </c>
      <c r="W676" s="131" t="str">
        <f>+'Aggregate, Plant Pick-up'!$C$6</f>
        <v>LAFARGE-MARBLEHEAD "OSBORNE-CLEVELAND"</v>
      </c>
      <c r="X676" s="131" t="str">
        <f>+Plant_Information!$B$10</f>
        <v>04105-28</v>
      </c>
      <c r="Y676" s="131" t="str">
        <f>+Plant_Information!$B$11</f>
        <v>2100 CENTRAL FURNACE ROAD</v>
      </c>
      <c r="Z676" s="131" t="str">
        <f>+Plant_Information!$B$12</f>
        <v>CLEVELAND, OH, 44115</v>
      </c>
      <c r="AA676" s="131" t="str">
        <f>+Plant_Information!$B$13</f>
        <v>12</v>
      </c>
      <c r="AB676" s="131" t="str">
        <f>+Plant_Information!$B$14</f>
        <v>CUY</v>
      </c>
      <c r="AC676" s="70"/>
    </row>
    <row r="677" spans="17:29" x14ac:dyDescent="0.2">
      <c r="Q677" t="str">
        <f>Plant_Information!$B$6</f>
        <v>(INSERT VENDOR NAME HERE)</v>
      </c>
      <c r="R677" t="str">
        <f>'HAULING RATES- ODOT Locations'!$A$50</f>
        <v>District 4</v>
      </c>
      <c r="S677" t="str">
        <f>'HAULING RATES- ODOT Locations'!A64</f>
        <v>Portage</v>
      </c>
      <c r="T677" t="str">
        <f>'HAULING RATES- ODOT Locations'!B64</f>
        <v>Drakesburg OP, 9068 SR 88, Windham, OH   44288</v>
      </c>
      <c r="U677" t="str">
        <f>'HAULING RATES- ODOT Locations'!F$8</f>
        <v>Sand</v>
      </c>
      <c r="V677" s="146">
        <f>'HAULING RATES- ODOT Locations'!F64</f>
        <v>0</v>
      </c>
      <c r="W677" s="131" t="str">
        <f>+'Aggregate, Plant Pick-up'!$C$6</f>
        <v>LAFARGE-MARBLEHEAD "OSBORNE-CLEVELAND"</v>
      </c>
      <c r="X677" s="131" t="str">
        <f>+Plant_Information!$B$10</f>
        <v>04105-28</v>
      </c>
      <c r="Y677" s="131" t="str">
        <f>+Plant_Information!$B$11</f>
        <v>2100 CENTRAL FURNACE ROAD</v>
      </c>
      <c r="Z677" s="131" t="str">
        <f>+Plant_Information!$B$12</f>
        <v>CLEVELAND, OH, 44115</v>
      </c>
      <c r="AA677" s="131" t="str">
        <f>+Plant_Information!$B$13</f>
        <v>12</v>
      </c>
      <c r="AB677" s="131" t="str">
        <f>+Plant_Information!$B$14</f>
        <v>CUY</v>
      </c>
      <c r="AC677" s="70"/>
    </row>
    <row r="678" spans="17:29" x14ac:dyDescent="0.2">
      <c r="Q678" t="str">
        <f>Plant_Information!$B$6</f>
        <v>(INSERT VENDOR NAME HERE)</v>
      </c>
      <c r="R678" t="str">
        <f>'HAULING RATES- ODOT Locations'!$A$50</f>
        <v>District 4</v>
      </c>
      <c r="S678" t="str">
        <f>'HAULING RATES- ODOT Locations'!A65</f>
        <v>Portage</v>
      </c>
      <c r="T678" t="str">
        <f>'HAULING RATES- ODOT Locations'!B65</f>
        <v>2638 SR 14, Deerfield, OH   44411</v>
      </c>
      <c r="U678" t="str">
        <f>'HAULING RATES- ODOT Locations'!F$8</f>
        <v>Sand</v>
      </c>
      <c r="V678" s="146">
        <f>'HAULING RATES- ODOT Locations'!F65</f>
        <v>0</v>
      </c>
      <c r="W678" s="131" t="str">
        <f>+'Aggregate, Plant Pick-up'!$C$6</f>
        <v>LAFARGE-MARBLEHEAD "OSBORNE-CLEVELAND"</v>
      </c>
      <c r="X678" s="131" t="str">
        <f>+Plant_Information!$B$10</f>
        <v>04105-28</v>
      </c>
      <c r="Y678" s="131" t="str">
        <f>+Plant_Information!$B$11</f>
        <v>2100 CENTRAL FURNACE ROAD</v>
      </c>
      <c r="Z678" s="131" t="str">
        <f>+Plant_Information!$B$12</f>
        <v>CLEVELAND, OH, 44115</v>
      </c>
      <c r="AA678" s="131" t="str">
        <f>+Plant_Information!$B$13</f>
        <v>12</v>
      </c>
      <c r="AB678" s="131" t="str">
        <f>+Plant_Information!$B$14</f>
        <v>CUY</v>
      </c>
      <c r="AC678" s="70"/>
    </row>
    <row r="679" spans="17:29" x14ac:dyDescent="0.2">
      <c r="Q679" t="str">
        <f>Plant_Information!$B$6</f>
        <v>(INSERT VENDOR NAME HERE)</v>
      </c>
      <c r="R679" t="str">
        <f>'HAULING RATES- ODOT Locations'!$A$50</f>
        <v>District 4</v>
      </c>
      <c r="S679" t="str">
        <f>'HAULING RATES- ODOT Locations'!A66</f>
        <v>Portage</v>
      </c>
      <c r="T679" t="str">
        <f>'HAULING RATES- ODOT Locations'!B66</f>
        <v>5071 Commerce One Drive, Rootstown, OH 44272</v>
      </c>
      <c r="U679" t="str">
        <f>'HAULING RATES- ODOT Locations'!F$8</f>
        <v>Sand</v>
      </c>
      <c r="V679" s="146">
        <f>'HAULING RATES- ODOT Locations'!F66</f>
        <v>0</v>
      </c>
      <c r="W679" s="131" t="str">
        <f>+'Aggregate, Plant Pick-up'!$C$6</f>
        <v>LAFARGE-MARBLEHEAD "OSBORNE-CLEVELAND"</v>
      </c>
      <c r="X679" s="131" t="str">
        <f>+Plant_Information!$B$10</f>
        <v>04105-28</v>
      </c>
      <c r="Y679" s="131" t="str">
        <f>+Plant_Information!$B$11</f>
        <v>2100 CENTRAL FURNACE ROAD</v>
      </c>
      <c r="Z679" s="131" t="str">
        <f>+Plant_Information!$B$12</f>
        <v>CLEVELAND, OH, 44115</v>
      </c>
      <c r="AA679" s="131" t="str">
        <f>+Plant_Information!$B$13</f>
        <v>12</v>
      </c>
      <c r="AB679" s="131" t="str">
        <f>+Plant_Information!$B$14</f>
        <v>CUY</v>
      </c>
      <c r="AC679" s="70"/>
    </row>
    <row r="680" spans="17:29" x14ac:dyDescent="0.2">
      <c r="Q680" t="str">
        <f>Plant_Information!$B$6</f>
        <v>(INSERT VENDOR NAME HERE)</v>
      </c>
      <c r="R680" t="str">
        <f>'HAULING RATES- ODOT Locations'!$A$50</f>
        <v>District 4</v>
      </c>
      <c r="S680" t="str">
        <f>'HAULING RATES- ODOT Locations'!A67</f>
        <v>Stark</v>
      </c>
      <c r="T680" t="str">
        <f>'HAULING RATES- ODOT Locations'!B67</f>
        <v>4505 Atlantic Blvd. NE, Canton, Intersection of  US 62 &amp; Atlantic</v>
      </c>
      <c r="U680" t="str">
        <f>'HAULING RATES- ODOT Locations'!F$8</f>
        <v>Sand</v>
      </c>
      <c r="V680" s="146">
        <f>'HAULING RATES- ODOT Locations'!F67</f>
        <v>0</v>
      </c>
      <c r="W680" s="131" t="str">
        <f>+'Aggregate, Plant Pick-up'!$C$6</f>
        <v>LAFARGE-MARBLEHEAD "OSBORNE-CLEVELAND"</v>
      </c>
      <c r="X680" s="131" t="str">
        <f>+Plant_Information!$B$10</f>
        <v>04105-28</v>
      </c>
      <c r="Y680" s="131" t="str">
        <f>+Plant_Information!$B$11</f>
        <v>2100 CENTRAL FURNACE ROAD</v>
      </c>
      <c r="Z680" s="131" t="str">
        <f>+Plant_Information!$B$12</f>
        <v>CLEVELAND, OH, 44115</v>
      </c>
      <c r="AA680" s="131" t="str">
        <f>+Plant_Information!$B$13</f>
        <v>12</v>
      </c>
      <c r="AB680" s="131" t="str">
        <f>+Plant_Information!$B$14</f>
        <v>CUY</v>
      </c>
      <c r="AC680" s="70"/>
    </row>
    <row r="681" spans="17:29" x14ac:dyDescent="0.2">
      <c r="Q681" t="str">
        <f>Plant_Information!$B$6</f>
        <v>(INSERT VENDOR NAME HERE)</v>
      </c>
      <c r="R681" t="str">
        <f>'HAULING RATES- ODOT Locations'!$A$50</f>
        <v>District 4</v>
      </c>
      <c r="S681" t="str">
        <f>'HAULING RATES- ODOT Locations'!A68</f>
        <v>Stark</v>
      </c>
      <c r="T681" t="str">
        <f>'HAULING RATES- ODOT Locations'!B68</f>
        <v>Millersburg OP, 12751 Millersburg SW,  Massillon, 44647 (corner of SR 241 &amp; SR 93)</v>
      </c>
      <c r="U681" t="str">
        <f>'HAULING RATES- ODOT Locations'!F$8</f>
        <v>Sand</v>
      </c>
      <c r="V681" s="146">
        <f>'HAULING RATES- ODOT Locations'!F68</f>
        <v>0</v>
      </c>
      <c r="W681" s="131" t="str">
        <f>+'Aggregate, Plant Pick-up'!$C$6</f>
        <v>LAFARGE-MARBLEHEAD "OSBORNE-CLEVELAND"</v>
      </c>
      <c r="X681" s="131" t="str">
        <f>+Plant_Information!$B$10</f>
        <v>04105-28</v>
      </c>
      <c r="Y681" s="131" t="str">
        <f>+Plant_Information!$B$11</f>
        <v>2100 CENTRAL FURNACE ROAD</v>
      </c>
      <c r="Z681" s="131" t="str">
        <f>+Plant_Information!$B$12</f>
        <v>CLEVELAND, OH, 44115</v>
      </c>
      <c r="AA681" s="131" t="str">
        <f>+Plant_Information!$B$13</f>
        <v>12</v>
      </c>
      <c r="AB681" s="131" t="str">
        <f>+Plant_Information!$B$14</f>
        <v>CUY</v>
      </c>
      <c r="AC681" s="70"/>
    </row>
    <row r="682" spans="17:29" x14ac:dyDescent="0.2">
      <c r="Q682" s="138" t="str">
        <f>Plant_Information!$B$6</f>
        <v>(INSERT VENDOR NAME HERE)</v>
      </c>
      <c r="R682" s="138" t="str">
        <f>'HAULING RATES- ODOT Locations'!$A$50</f>
        <v>District 4</v>
      </c>
      <c r="S682" s="138" t="str">
        <f>'HAULING RATES- ODOT Locations'!A69</f>
        <v>Stark</v>
      </c>
      <c r="T682" s="138" t="str">
        <f>'HAULING RATES- ODOT Locations'!B69</f>
        <v>3018 Richville Drive SE, Massillon, OH 44646</v>
      </c>
      <c r="U682" s="138" t="str">
        <f>'HAULING RATES- ODOT Locations'!F$8</f>
        <v>Sand</v>
      </c>
      <c r="V682" s="146">
        <f>'HAULING RATES- ODOT Locations'!F69</f>
        <v>0</v>
      </c>
      <c r="W682" s="141" t="str">
        <f>+'Aggregate, Plant Pick-up'!$C$6</f>
        <v>LAFARGE-MARBLEHEAD "OSBORNE-CLEVELAND"</v>
      </c>
      <c r="X682" s="141" t="str">
        <f>+Plant_Information!$B$10</f>
        <v>04105-28</v>
      </c>
      <c r="Y682" s="141" t="str">
        <f>+Plant_Information!$B$11</f>
        <v>2100 CENTRAL FURNACE ROAD</v>
      </c>
      <c r="Z682" s="141" t="str">
        <f>+Plant_Information!$B$12</f>
        <v>CLEVELAND, OH, 44115</v>
      </c>
      <c r="AA682" s="141" t="str">
        <f>+Plant_Information!$B$13</f>
        <v>12</v>
      </c>
      <c r="AB682" s="141" t="str">
        <f>+Plant_Information!$B$14</f>
        <v>CUY</v>
      </c>
      <c r="AC682" s="70"/>
    </row>
    <row r="683" spans="17:29" x14ac:dyDescent="0.2">
      <c r="Q683" t="str">
        <f>Plant_Information!$B$6</f>
        <v>(INSERT VENDOR NAME HERE)</v>
      </c>
      <c r="R683" t="str">
        <f>'HAULING RATES- ODOT Locations'!$A$50</f>
        <v>District 4</v>
      </c>
      <c r="S683" t="str">
        <f>'HAULING RATES- ODOT Locations'!A70</f>
        <v>Summit</v>
      </c>
      <c r="T683" t="str">
        <f>'HAULING RATES- ODOT Locations'!B70</f>
        <v>Boston Heights Garage, 6155 Chittenden Rd., Hudson, OH 44236</v>
      </c>
      <c r="U683" t="str">
        <f>'HAULING RATES- ODOT Locations'!F$8</f>
        <v>Sand</v>
      </c>
      <c r="V683" s="146">
        <f>'HAULING RATES- ODOT Locations'!F70</f>
        <v>0</v>
      </c>
      <c r="W683" s="131" t="str">
        <f>+'Aggregate, Plant Pick-up'!$C$6</f>
        <v>LAFARGE-MARBLEHEAD "OSBORNE-CLEVELAND"</v>
      </c>
      <c r="X683" s="131" t="str">
        <f>+Plant_Information!$B$10</f>
        <v>04105-28</v>
      </c>
      <c r="Y683" s="131" t="str">
        <f>+Plant_Information!$B$11</f>
        <v>2100 CENTRAL FURNACE ROAD</v>
      </c>
      <c r="Z683" s="131" t="str">
        <f>+Plant_Information!$B$12</f>
        <v>CLEVELAND, OH, 44115</v>
      </c>
      <c r="AA683" s="131" t="str">
        <f>+Plant_Information!$B$13</f>
        <v>12</v>
      </c>
      <c r="AB683" s="131" t="str">
        <f>+Plant_Information!$B$14</f>
        <v>CUY</v>
      </c>
      <c r="AC683" s="70"/>
    </row>
    <row r="684" spans="17:29" x14ac:dyDescent="0.2">
      <c r="Q684" t="str">
        <f>Plant_Information!$B$6</f>
        <v>(INSERT VENDOR NAME HERE)</v>
      </c>
      <c r="R684" t="str">
        <f>'HAULING RATES- ODOT Locations'!$A$50</f>
        <v>District 4</v>
      </c>
      <c r="S684" t="str">
        <f>'HAULING RATES- ODOT Locations'!A71</f>
        <v>Summit</v>
      </c>
      <c r="T684" t="str">
        <f>'HAULING RATES- ODOT Locations'!B71</f>
        <v>8820 Darow Rd., Twinsburg, OH   44087</v>
      </c>
      <c r="U684" t="str">
        <f>'HAULING RATES- ODOT Locations'!F$8</f>
        <v>Sand</v>
      </c>
      <c r="V684" s="146">
        <f>'HAULING RATES- ODOT Locations'!F71</f>
        <v>0</v>
      </c>
      <c r="W684" s="131" t="str">
        <f>+'Aggregate, Plant Pick-up'!$C$6</f>
        <v>LAFARGE-MARBLEHEAD "OSBORNE-CLEVELAND"</v>
      </c>
      <c r="X684" s="131" t="str">
        <f>+Plant_Information!$B$10</f>
        <v>04105-28</v>
      </c>
      <c r="Y684" s="131" t="str">
        <f>+Plant_Information!$B$11</f>
        <v>2100 CENTRAL FURNACE ROAD</v>
      </c>
      <c r="Z684" s="131" t="str">
        <f>+Plant_Information!$B$12</f>
        <v>CLEVELAND, OH, 44115</v>
      </c>
      <c r="AA684" s="131" t="str">
        <f>+Plant_Information!$B$13</f>
        <v>12</v>
      </c>
      <c r="AB684" s="131" t="str">
        <f>+Plant_Information!$B$14</f>
        <v>CUY</v>
      </c>
      <c r="AC684" s="70"/>
    </row>
    <row r="685" spans="17:29" x14ac:dyDescent="0.2">
      <c r="Q685" t="str">
        <f>Plant_Information!$B$6</f>
        <v>(INSERT VENDOR NAME HERE)</v>
      </c>
      <c r="R685" t="str">
        <f>'HAULING RATES- ODOT Locations'!$A$50</f>
        <v>District 4</v>
      </c>
      <c r="S685" t="str">
        <f>'HAULING RATES- ODOT Locations'!A72</f>
        <v>Summit</v>
      </c>
      <c r="T685" t="str">
        <f>'HAULING RATES- ODOT Locations'!B72</f>
        <v>Norton OP, 3349 SR 21, Norton, OH   44203 (Interchange  I-76 and SR 21)</v>
      </c>
      <c r="U685" t="str">
        <f>'HAULING RATES- ODOT Locations'!F$8</f>
        <v>Sand</v>
      </c>
      <c r="V685" s="146">
        <f>'HAULING RATES- ODOT Locations'!F72</f>
        <v>0</v>
      </c>
      <c r="W685" s="131" t="str">
        <f>+'Aggregate, Plant Pick-up'!$C$6</f>
        <v>LAFARGE-MARBLEHEAD "OSBORNE-CLEVELAND"</v>
      </c>
      <c r="X685" s="131" t="str">
        <f>+Plant_Information!$B$10</f>
        <v>04105-28</v>
      </c>
      <c r="Y685" s="131" t="str">
        <f>+Plant_Information!$B$11</f>
        <v>2100 CENTRAL FURNACE ROAD</v>
      </c>
      <c r="Z685" s="131" t="str">
        <f>+Plant_Information!$B$12</f>
        <v>CLEVELAND, OH, 44115</v>
      </c>
      <c r="AA685" s="131" t="str">
        <f>+Plant_Information!$B$13</f>
        <v>12</v>
      </c>
      <c r="AB685" s="131" t="str">
        <f>+Plant_Information!$B$14</f>
        <v>CUY</v>
      </c>
      <c r="AC685" s="70"/>
    </row>
    <row r="686" spans="17:29" x14ac:dyDescent="0.2">
      <c r="Q686" t="str">
        <f>Plant_Information!$B$6</f>
        <v>(INSERT VENDOR NAME HERE)</v>
      </c>
      <c r="R686" t="str">
        <f>'HAULING RATES- ODOT Locations'!$A$50</f>
        <v>District 4</v>
      </c>
      <c r="S686" t="str">
        <f>'HAULING RATES- ODOT Locations'!A73</f>
        <v>Summit</v>
      </c>
      <c r="T686" t="str">
        <f>'HAULING RATES- ODOT Locations'!B73</f>
        <v>Greensburg OP, 4377 Mt. Pleasant Road, North Canton, , OH   44272  (1/4 mi. n. of I-77 Airport exit.)</v>
      </c>
      <c r="U686" t="str">
        <f>'HAULING RATES- ODOT Locations'!F$8</f>
        <v>Sand</v>
      </c>
      <c r="V686" s="146">
        <f>'HAULING RATES- ODOT Locations'!F73</f>
        <v>0</v>
      </c>
      <c r="W686" s="131" t="str">
        <f>+'Aggregate, Plant Pick-up'!$C$6</f>
        <v>LAFARGE-MARBLEHEAD "OSBORNE-CLEVELAND"</v>
      </c>
      <c r="X686" s="131" t="str">
        <f>+Plant_Information!$B$10</f>
        <v>04105-28</v>
      </c>
      <c r="Y686" s="131" t="str">
        <f>+Plant_Information!$B$11</f>
        <v>2100 CENTRAL FURNACE ROAD</v>
      </c>
      <c r="Z686" s="131" t="str">
        <f>+Plant_Information!$B$12</f>
        <v>CLEVELAND, OH, 44115</v>
      </c>
      <c r="AA686" s="131" t="str">
        <f>+Plant_Information!$B$13</f>
        <v>12</v>
      </c>
      <c r="AB686" s="131" t="str">
        <f>+Plant_Information!$B$14</f>
        <v>CUY</v>
      </c>
      <c r="AC686" s="70"/>
    </row>
    <row r="687" spans="17:29" x14ac:dyDescent="0.2">
      <c r="Q687" t="str">
        <f>Plant_Information!$B$6</f>
        <v>(INSERT VENDOR NAME HERE)</v>
      </c>
      <c r="R687" t="str">
        <f>'HAULING RATES- ODOT Locations'!$A$50</f>
        <v>District 4</v>
      </c>
      <c r="S687" t="str">
        <f>'HAULING RATES- ODOT Locations'!A74</f>
        <v>Summit</v>
      </c>
      <c r="T687" t="str">
        <f>'HAULING RATES- ODOT Locations'!B74</f>
        <v>Kelly Ave. OP, 1240 Starlight Dr., Akron, OH  44306</v>
      </c>
      <c r="U687" t="str">
        <f>'HAULING RATES- ODOT Locations'!F$8</f>
        <v>Sand</v>
      </c>
      <c r="V687" s="146">
        <f>'HAULING RATES- ODOT Locations'!F74</f>
        <v>0</v>
      </c>
      <c r="W687" s="131" t="str">
        <f>+'Aggregate, Plant Pick-up'!$C$6</f>
        <v>LAFARGE-MARBLEHEAD "OSBORNE-CLEVELAND"</v>
      </c>
      <c r="X687" s="131" t="str">
        <f>+Plant_Information!$B$10</f>
        <v>04105-28</v>
      </c>
      <c r="Y687" s="131" t="str">
        <f>+Plant_Information!$B$11</f>
        <v>2100 CENTRAL FURNACE ROAD</v>
      </c>
      <c r="Z687" s="131" t="str">
        <f>+Plant_Information!$B$12</f>
        <v>CLEVELAND, OH, 44115</v>
      </c>
      <c r="AA687" s="131" t="str">
        <f>+Plant_Information!$B$13</f>
        <v>12</v>
      </c>
      <c r="AB687" s="131" t="str">
        <f>+Plant_Information!$B$14</f>
        <v>CUY</v>
      </c>
      <c r="AC687" s="70"/>
    </row>
    <row r="688" spans="17:29" x14ac:dyDescent="0.2">
      <c r="Q688" t="str">
        <f>Plant_Information!$B$6</f>
        <v>(INSERT VENDOR NAME HERE)</v>
      </c>
      <c r="R688" t="str">
        <f>'HAULING RATES- ODOT Locations'!$A$50</f>
        <v>District 4</v>
      </c>
      <c r="S688" t="str">
        <f>'HAULING RATES- ODOT Locations'!A75</f>
        <v>Trumbull</v>
      </c>
      <c r="T688" t="str">
        <f>'HAULING RATES- ODOT Locations'!B75</f>
        <v>Brookfield OP, 1590 Brookfield Rd. S.E. (SR 7), Hubbard, OH   44425</v>
      </c>
      <c r="U688" t="str">
        <f>'HAULING RATES- ODOT Locations'!F$8</f>
        <v>Sand</v>
      </c>
      <c r="V688" s="146">
        <f>'HAULING RATES- ODOT Locations'!F75</f>
        <v>0</v>
      </c>
      <c r="W688" s="131" t="str">
        <f>+'Aggregate, Plant Pick-up'!$C$6</f>
        <v>LAFARGE-MARBLEHEAD "OSBORNE-CLEVELAND"</v>
      </c>
      <c r="X688" s="131" t="str">
        <f>+Plant_Information!$B$10</f>
        <v>04105-28</v>
      </c>
      <c r="Y688" s="131" t="str">
        <f>+Plant_Information!$B$11</f>
        <v>2100 CENTRAL FURNACE ROAD</v>
      </c>
      <c r="Z688" s="131" t="str">
        <f>+Plant_Information!$B$12</f>
        <v>CLEVELAND, OH, 44115</v>
      </c>
      <c r="AA688" s="131" t="str">
        <f>+Plant_Information!$B$13</f>
        <v>12</v>
      </c>
      <c r="AB688" s="131" t="str">
        <f>+Plant_Information!$B$14</f>
        <v>CUY</v>
      </c>
      <c r="AC688" s="70"/>
    </row>
    <row r="689" spans="17:29" x14ac:dyDescent="0.2">
      <c r="Q689" t="str">
        <f>Plant_Information!$B$6</f>
        <v>(INSERT VENDOR NAME HERE)</v>
      </c>
      <c r="R689" t="str">
        <f>'HAULING RATES- ODOT Locations'!$A$50</f>
        <v>District 4</v>
      </c>
      <c r="S689" t="str">
        <f>'HAULING RATES- ODOT Locations'!A76</f>
        <v>Trumbull</v>
      </c>
      <c r="T689" t="str">
        <f>'HAULING RATES- ODOT Locations'!B76</f>
        <v>310 Second St., Cortland, OH   44410</v>
      </c>
      <c r="U689" t="str">
        <f>'HAULING RATES- ODOT Locations'!F$8</f>
        <v>Sand</v>
      </c>
      <c r="V689" s="146">
        <f>'HAULING RATES- ODOT Locations'!F76</f>
        <v>0</v>
      </c>
      <c r="W689" s="131" t="str">
        <f>+'Aggregate, Plant Pick-up'!$C$6</f>
        <v>LAFARGE-MARBLEHEAD "OSBORNE-CLEVELAND"</v>
      </c>
      <c r="X689" s="131" t="str">
        <f>+Plant_Information!$B$10</f>
        <v>04105-28</v>
      </c>
      <c r="Y689" s="131" t="str">
        <f>+Plant_Information!$B$11</f>
        <v>2100 CENTRAL FURNACE ROAD</v>
      </c>
      <c r="Z689" s="131" t="str">
        <f>+Plant_Information!$B$12</f>
        <v>CLEVELAND, OH, 44115</v>
      </c>
      <c r="AA689" s="131" t="str">
        <f>+Plant_Information!$B$13</f>
        <v>12</v>
      </c>
      <c r="AB689" s="131" t="str">
        <f>+Plant_Information!$B$14</f>
        <v>CUY</v>
      </c>
      <c r="AC689" s="70"/>
    </row>
    <row r="690" spans="17:29" x14ac:dyDescent="0.2">
      <c r="Q690" t="str">
        <f>Plant_Information!$B$6</f>
        <v>(INSERT VENDOR NAME HERE)</v>
      </c>
      <c r="R690" t="str">
        <f>'HAULING RATES- ODOT Locations'!$A$50</f>
        <v>District 4</v>
      </c>
      <c r="S690" t="str">
        <f>'HAULING RATES- ODOT Locations'!A77</f>
        <v>Trumbull</v>
      </c>
      <c r="T690" t="str">
        <f>'HAULING RATES- ODOT Locations'!B77</f>
        <v>Gustavus OP, 2979 Kinsman Rd., North Bloomfield, OH 44450</v>
      </c>
      <c r="U690" t="str">
        <f>'HAULING RATES- ODOT Locations'!F$8</f>
        <v>Sand</v>
      </c>
      <c r="V690" s="146">
        <f>'HAULING RATES- ODOT Locations'!F77</f>
        <v>0</v>
      </c>
      <c r="W690" s="131" t="str">
        <f>+'Aggregate, Plant Pick-up'!$C$6</f>
        <v>LAFARGE-MARBLEHEAD "OSBORNE-CLEVELAND"</v>
      </c>
      <c r="X690" s="131" t="str">
        <f>+Plant_Information!$B$10</f>
        <v>04105-28</v>
      </c>
      <c r="Y690" s="131" t="str">
        <f>+Plant_Information!$B$11</f>
        <v>2100 CENTRAL FURNACE ROAD</v>
      </c>
      <c r="Z690" s="131" t="str">
        <f>+Plant_Information!$B$12</f>
        <v>CLEVELAND, OH, 44115</v>
      </c>
      <c r="AA690" s="131" t="str">
        <f>+Plant_Information!$B$13</f>
        <v>12</v>
      </c>
      <c r="AB690" s="131" t="str">
        <f>+Plant_Information!$B$14</f>
        <v>CUY</v>
      </c>
      <c r="AC690" s="70"/>
    </row>
    <row r="691" spans="17:29" x14ac:dyDescent="0.2">
      <c r="Q691" t="str">
        <f>Plant_Information!$B$6</f>
        <v>(INSERT VENDOR NAME HERE)</v>
      </c>
      <c r="R691" t="str">
        <f>'HAULING RATES- ODOT Locations'!$A$50</f>
        <v>District 4</v>
      </c>
      <c r="S691" t="str">
        <f>'HAULING RATES- ODOT Locations'!A78</f>
        <v>Trumbull</v>
      </c>
      <c r="T691" t="str">
        <f>'HAULING RATES- ODOT Locations'!B78</f>
        <v>Farmington OP, 6265 SR 534, W. Farmington, OH  44491</v>
      </c>
      <c r="U691" t="str">
        <f>'HAULING RATES- ODOT Locations'!F$8</f>
        <v>Sand</v>
      </c>
      <c r="V691" s="146">
        <f>'HAULING RATES- ODOT Locations'!F78</f>
        <v>0</v>
      </c>
      <c r="W691" s="131" t="str">
        <f>+'Aggregate, Plant Pick-up'!$C$6</f>
        <v>LAFARGE-MARBLEHEAD "OSBORNE-CLEVELAND"</v>
      </c>
      <c r="X691" s="131" t="str">
        <f>+Plant_Information!$B$10</f>
        <v>04105-28</v>
      </c>
      <c r="Y691" s="131" t="str">
        <f>+Plant_Information!$B$11</f>
        <v>2100 CENTRAL FURNACE ROAD</v>
      </c>
      <c r="Z691" s="131" t="str">
        <f>+Plant_Information!$B$12</f>
        <v>CLEVELAND, OH, 44115</v>
      </c>
      <c r="AA691" s="131" t="str">
        <f>+Plant_Information!$B$13</f>
        <v>12</v>
      </c>
      <c r="AB691" s="131" t="str">
        <f>+Plant_Information!$B$14</f>
        <v>CUY</v>
      </c>
      <c r="AC691" s="70"/>
    </row>
    <row r="692" spans="17:29" x14ac:dyDescent="0.2">
      <c r="Q692" t="str">
        <f>Plant_Information!$B$6</f>
        <v>(INSERT VENDOR NAME HERE)</v>
      </c>
      <c r="R692" t="str">
        <f>'HAULING RATES- ODOT Locations'!$A$50</f>
        <v>District 4</v>
      </c>
      <c r="S692" t="str">
        <f>'HAULING RATES- ODOT Locations'!A79</f>
        <v>Trumbull</v>
      </c>
      <c r="T692" t="str">
        <f>'HAULING RATES- ODOT Locations'!B79</f>
        <v>Warren OP, SR 5 &amp; Diehl S., Leavittsburg, OH   44430</v>
      </c>
      <c r="U692" t="str">
        <f>'HAULING RATES- ODOT Locations'!F$8</f>
        <v>Sand</v>
      </c>
      <c r="V692" s="146">
        <f>'HAULING RATES- ODOT Locations'!F79</f>
        <v>0</v>
      </c>
      <c r="W692" s="131" t="str">
        <f>+'Aggregate, Plant Pick-up'!$C$6</f>
        <v>LAFARGE-MARBLEHEAD "OSBORNE-CLEVELAND"</v>
      </c>
      <c r="X692" s="131" t="str">
        <f>+Plant_Information!$B$10</f>
        <v>04105-28</v>
      </c>
      <c r="Y692" s="131" t="str">
        <f>+Plant_Information!$B$11</f>
        <v>2100 CENTRAL FURNACE ROAD</v>
      </c>
      <c r="Z692" s="131" t="str">
        <f>+Plant_Information!$B$12</f>
        <v>CLEVELAND, OH, 44115</v>
      </c>
      <c r="AA692" s="131" t="str">
        <f>+Plant_Information!$B$13</f>
        <v>12</v>
      </c>
      <c r="AB692" s="131" t="str">
        <f>+Plant_Information!$B$14</f>
        <v>CUY</v>
      </c>
      <c r="AC692" s="70"/>
    </row>
    <row r="693" spans="17:29" x14ac:dyDescent="0.2">
      <c r="Q693" t="str">
        <f>Plant_Information!$B$6</f>
        <v>(INSERT VENDOR NAME HERE)</v>
      </c>
      <c r="R693" t="str">
        <f>'HAULING RATES- ODOT Locations'!$A$80</f>
        <v>District 5</v>
      </c>
      <c r="S693" t="str">
        <f>'HAULING RATES- ODOT Locations'!A83</f>
        <v>Coshocton</v>
      </c>
      <c r="T693" t="str">
        <f>'HAULING RATES- ODOT Locations'!B83</f>
        <v>233 Rivercrest Dr., Coshocton, OH 43812</v>
      </c>
      <c r="U693" t="str">
        <f>'HAULING RATES- ODOT Locations'!F$8</f>
        <v>Sand</v>
      </c>
      <c r="V693" s="146">
        <f>'HAULING RATES- ODOT Locations'!F83</f>
        <v>0</v>
      </c>
      <c r="W693" s="131" t="str">
        <f>+'Aggregate, Plant Pick-up'!$C$6</f>
        <v>LAFARGE-MARBLEHEAD "OSBORNE-CLEVELAND"</v>
      </c>
      <c r="X693" s="131" t="str">
        <f>+Plant_Information!$B$10</f>
        <v>04105-28</v>
      </c>
      <c r="Y693" s="131" t="str">
        <f>+Plant_Information!$B$11</f>
        <v>2100 CENTRAL FURNACE ROAD</v>
      </c>
      <c r="Z693" s="131" t="str">
        <f>+Plant_Information!$B$12</f>
        <v>CLEVELAND, OH, 44115</v>
      </c>
      <c r="AA693" s="131" t="str">
        <f>+Plant_Information!$B$13</f>
        <v>12</v>
      </c>
      <c r="AB693" s="131" t="str">
        <f>+Plant_Information!$B$14</f>
        <v>CUY</v>
      </c>
      <c r="AC693" s="70"/>
    </row>
    <row r="694" spans="17:29" x14ac:dyDescent="0.2">
      <c r="Q694" t="str">
        <f>Plant_Information!$B$6</f>
        <v>(INSERT VENDOR NAME HERE)</v>
      </c>
      <c r="R694" t="str">
        <f>'HAULING RATES- ODOT Locations'!$A$80</f>
        <v>District 5</v>
      </c>
      <c r="S694" t="str">
        <f>'HAULING RATES- ODOT Locations'!A84</f>
        <v>Coshocton</v>
      </c>
      <c r="T694" t="str">
        <f>'HAULING RATES- ODOT Locations'!B84</f>
        <v>25939 SR 206, New Castle, OH 43843</v>
      </c>
      <c r="U694" t="str">
        <f>'HAULING RATES- ODOT Locations'!F$8</f>
        <v>Sand</v>
      </c>
      <c r="V694" s="146">
        <f>'HAULING RATES- ODOT Locations'!F84</f>
        <v>0</v>
      </c>
      <c r="W694" s="131" t="str">
        <f>+'Aggregate, Plant Pick-up'!$C$6</f>
        <v>LAFARGE-MARBLEHEAD "OSBORNE-CLEVELAND"</v>
      </c>
      <c r="X694" s="131" t="str">
        <f>+Plant_Information!$B$10</f>
        <v>04105-28</v>
      </c>
      <c r="Y694" s="131" t="str">
        <f>+Plant_Information!$B$11</f>
        <v>2100 CENTRAL FURNACE ROAD</v>
      </c>
      <c r="Z694" s="131" t="str">
        <f>+Plant_Information!$B$12</f>
        <v>CLEVELAND, OH, 44115</v>
      </c>
      <c r="AA694" s="131" t="str">
        <f>+Plant_Information!$B$13</f>
        <v>12</v>
      </c>
      <c r="AB694" s="131" t="str">
        <f>+Plant_Information!$B$14</f>
        <v>CUY</v>
      </c>
      <c r="AC694" s="70"/>
    </row>
    <row r="695" spans="17:29" x14ac:dyDescent="0.2">
      <c r="Q695" t="str">
        <f>Plant_Information!$B$6</f>
        <v>(INSERT VENDOR NAME HERE)</v>
      </c>
      <c r="R695" t="str">
        <f>'HAULING RATES- ODOT Locations'!$A$80</f>
        <v>District 5</v>
      </c>
      <c r="S695" t="str">
        <f>'HAULING RATES- ODOT Locations'!A85</f>
        <v>Fairfield</v>
      </c>
      <c r="T695" t="str">
        <f>'HAULING RATES- ODOT Locations'!B85</f>
        <v>1894 West Market St., Baltimore, OH 43105</v>
      </c>
      <c r="U695" t="str">
        <f>'HAULING RATES- ODOT Locations'!F$8</f>
        <v>Sand</v>
      </c>
      <c r="V695" s="146">
        <f>'HAULING RATES- ODOT Locations'!F85</f>
        <v>0</v>
      </c>
      <c r="W695" s="131" t="str">
        <f>+'Aggregate, Plant Pick-up'!$C$6</f>
        <v>LAFARGE-MARBLEHEAD "OSBORNE-CLEVELAND"</v>
      </c>
      <c r="X695" s="131" t="str">
        <f>+Plant_Information!$B$10</f>
        <v>04105-28</v>
      </c>
      <c r="Y695" s="131" t="str">
        <f>+Plant_Information!$B$11</f>
        <v>2100 CENTRAL FURNACE ROAD</v>
      </c>
      <c r="Z695" s="131" t="str">
        <f>+Plant_Information!$B$12</f>
        <v>CLEVELAND, OH, 44115</v>
      </c>
      <c r="AA695" s="131" t="str">
        <f>+Plant_Information!$B$13</f>
        <v>12</v>
      </c>
      <c r="AB695" s="131" t="str">
        <f>+Plant_Information!$B$14</f>
        <v>CUY</v>
      </c>
      <c r="AC695" s="70"/>
    </row>
    <row r="696" spans="17:29" x14ac:dyDescent="0.2">
      <c r="Q696" t="str">
        <f>Plant_Information!$B$6</f>
        <v>(INSERT VENDOR NAME HERE)</v>
      </c>
      <c r="R696" t="str">
        <f>'HAULING RATES- ODOT Locations'!$A$80</f>
        <v>District 5</v>
      </c>
      <c r="S696" t="str">
        <f>'HAULING RATES- ODOT Locations'!A86</f>
        <v>Fairfield</v>
      </c>
      <c r="T696" t="str">
        <f>'HAULING RATES- ODOT Locations'!B86</f>
        <v>3265 West Fair Avenue, Lancaster, OH 43130</v>
      </c>
      <c r="U696" t="str">
        <f>'HAULING RATES- ODOT Locations'!F$8</f>
        <v>Sand</v>
      </c>
      <c r="V696" s="146">
        <f>'HAULING RATES- ODOT Locations'!F86</f>
        <v>0</v>
      </c>
      <c r="W696" s="131" t="str">
        <f>+'Aggregate, Plant Pick-up'!$C$6</f>
        <v>LAFARGE-MARBLEHEAD "OSBORNE-CLEVELAND"</v>
      </c>
      <c r="X696" s="131" t="str">
        <f>+Plant_Information!$B$10</f>
        <v>04105-28</v>
      </c>
      <c r="Y696" s="131" t="str">
        <f>+Plant_Information!$B$11</f>
        <v>2100 CENTRAL FURNACE ROAD</v>
      </c>
      <c r="Z696" s="131" t="str">
        <f>+Plant_Information!$B$12</f>
        <v>CLEVELAND, OH, 44115</v>
      </c>
      <c r="AA696" s="131" t="str">
        <f>+Plant_Information!$B$13</f>
        <v>12</v>
      </c>
      <c r="AB696" s="131" t="str">
        <f>+Plant_Information!$B$14</f>
        <v>CUY</v>
      </c>
      <c r="AC696" s="70"/>
    </row>
    <row r="697" spans="17:29" x14ac:dyDescent="0.2">
      <c r="Q697" t="str">
        <f>Plant_Information!$B$6</f>
        <v>(INSERT VENDOR NAME HERE)</v>
      </c>
      <c r="R697" t="str">
        <f>'HAULING RATES- ODOT Locations'!$A$80</f>
        <v>District 5</v>
      </c>
      <c r="S697" t="str">
        <f>'HAULING RATES- ODOT Locations'!A87</f>
        <v>Fairfield</v>
      </c>
      <c r="T697" t="str">
        <f>'HAULING RATES- ODOT Locations'!B87</f>
        <v>5840 Logan-Thornville Rd. NE, Rushville, OH 43150</v>
      </c>
      <c r="U697" t="str">
        <f>'HAULING RATES- ODOT Locations'!F$8</f>
        <v>Sand</v>
      </c>
      <c r="V697" s="146">
        <f>'HAULING RATES- ODOT Locations'!F87</f>
        <v>0</v>
      </c>
      <c r="W697" s="131" t="str">
        <f>+'Aggregate, Plant Pick-up'!$C$6</f>
        <v>LAFARGE-MARBLEHEAD "OSBORNE-CLEVELAND"</v>
      </c>
      <c r="X697" s="131" t="str">
        <f>+Plant_Information!$B$10</f>
        <v>04105-28</v>
      </c>
      <c r="Y697" s="131" t="str">
        <f>+Plant_Information!$B$11</f>
        <v>2100 CENTRAL FURNACE ROAD</v>
      </c>
      <c r="Z697" s="131" t="str">
        <f>+Plant_Information!$B$12</f>
        <v>CLEVELAND, OH, 44115</v>
      </c>
      <c r="AA697" s="131" t="str">
        <f>+Plant_Information!$B$13</f>
        <v>12</v>
      </c>
      <c r="AB697" s="131" t="str">
        <f>+Plant_Information!$B$14</f>
        <v>CUY</v>
      </c>
      <c r="AC697" s="70"/>
    </row>
    <row r="698" spans="17:29" x14ac:dyDescent="0.2">
      <c r="Q698" t="str">
        <f>Plant_Information!$B$6</f>
        <v>(INSERT VENDOR NAME HERE)</v>
      </c>
      <c r="R698" t="str">
        <f>'HAULING RATES- ODOT Locations'!$A$80</f>
        <v>District 5</v>
      </c>
      <c r="S698" t="str">
        <f>'HAULING RATES- ODOT Locations'!A88</f>
        <v>Guernsey</v>
      </c>
      <c r="T698" t="str">
        <f>'HAULING RATES- ODOT Locations'!B88</f>
        <v>6490 Glenn Highway, Cambridge, OH 43725</v>
      </c>
      <c r="U698" t="str">
        <f>'HAULING RATES- ODOT Locations'!F$8</f>
        <v>Sand</v>
      </c>
      <c r="V698" s="146">
        <f>'HAULING RATES- ODOT Locations'!F88</f>
        <v>0</v>
      </c>
      <c r="W698" s="131" t="str">
        <f>+'Aggregate, Plant Pick-up'!$C$6</f>
        <v>LAFARGE-MARBLEHEAD "OSBORNE-CLEVELAND"</v>
      </c>
      <c r="X698" s="131" t="str">
        <f>+Plant_Information!$B$10</f>
        <v>04105-28</v>
      </c>
      <c r="Y698" s="131" t="str">
        <f>+Plant_Information!$B$11</f>
        <v>2100 CENTRAL FURNACE ROAD</v>
      </c>
      <c r="Z698" s="131" t="str">
        <f>+Plant_Information!$B$12</f>
        <v>CLEVELAND, OH, 44115</v>
      </c>
      <c r="AA698" s="131" t="str">
        <f>+Plant_Information!$B$13</f>
        <v>12</v>
      </c>
      <c r="AB698" s="131" t="str">
        <f>+Plant_Information!$B$14</f>
        <v>CUY</v>
      </c>
      <c r="AC698" s="70"/>
    </row>
    <row r="699" spans="17:29" x14ac:dyDescent="0.2">
      <c r="Q699" t="str">
        <f>Plant_Information!$B$6</f>
        <v>(INSERT VENDOR NAME HERE)</v>
      </c>
      <c r="R699" t="str">
        <f>'HAULING RATES- ODOT Locations'!$A$80</f>
        <v>District 5</v>
      </c>
      <c r="S699" t="str">
        <f>'HAULING RATES- ODOT Locations'!A89</f>
        <v>Guernsey</v>
      </c>
      <c r="T699" t="str">
        <f>'HAULING RATES- ODOT Locations'!B89</f>
        <v>North Salem OP, 72450 Old 21 Rd., Kimbolton, OH 43749</v>
      </c>
      <c r="U699" t="str">
        <f>'HAULING RATES- ODOT Locations'!F$8</f>
        <v>Sand</v>
      </c>
      <c r="V699" s="146">
        <f>'HAULING RATES- ODOT Locations'!F89</f>
        <v>0</v>
      </c>
      <c r="W699" s="131" t="str">
        <f>+'Aggregate, Plant Pick-up'!$C$6</f>
        <v>LAFARGE-MARBLEHEAD "OSBORNE-CLEVELAND"</v>
      </c>
      <c r="X699" s="131" t="str">
        <f>+Plant_Information!$B$10</f>
        <v>04105-28</v>
      </c>
      <c r="Y699" s="131" t="str">
        <f>+Plant_Information!$B$11</f>
        <v>2100 CENTRAL FURNACE ROAD</v>
      </c>
      <c r="Z699" s="131" t="str">
        <f>+Plant_Information!$B$12</f>
        <v>CLEVELAND, OH, 44115</v>
      </c>
      <c r="AA699" s="131" t="str">
        <f>+Plant_Information!$B$13</f>
        <v>12</v>
      </c>
      <c r="AB699" s="131" t="str">
        <f>+Plant_Information!$B$14</f>
        <v>CUY</v>
      </c>
      <c r="AC699" s="70"/>
    </row>
    <row r="700" spans="17:29" x14ac:dyDescent="0.2">
      <c r="Q700" t="str">
        <f>Plant_Information!$B$6</f>
        <v>(INSERT VENDOR NAME HERE)</v>
      </c>
      <c r="R700" t="str">
        <f>'HAULING RATES- ODOT Locations'!$A$80</f>
        <v>District 5</v>
      </c>
      <c r="S700" t="str">
        <f>'HAULING RATES- ODOT Locations'!A90</f>
        <v>Guernsey</v>
      </c>
      <c r="T700" t="str">
        <f>'HAULING RATES- ODOT Locations'!B90</f>
        <v>Old Washington OP, 63064 Winter Green Rd., Lore City, OH 43755</v>
      </c>
      <c r="U700" t="str">
        <f>'HAULING RATES- ODOT Locations'!F$8</f>
        <v>Sand</v>
      </c>
      <c r="V700" s="146">
        <f>'HAULING RATES- ODOT Locations'!F90</f>
        <v>0</v>
      </c>
      <c r="W700" s="131" t="str">
        <f>+'Aggregate, Plant Pick-up'!$C$6</f>
        <v>LAFARGE-MARBLEHEAD "OSBORNE-CLEVELAND"</v>
      </c>
      <c r="X700" s="131" t="str">
        <f>+Plant_Information!$B$10</f>
        <v>04105-28</v>
      </c>
      <c r="Y700" s="131" t="str">
        <f>+Plant_Information!$B$11</f>
        <v>2100 CENTRAL FURNACE ROAD</v>
      </c>
      <c r="Z700" s="131" t="str">
        <f>+Plant_Information!$B$12</f>
        <v>CLEVELAND, OH, 44115</v>
      </c>
      <c r="AA700" s="131" t="str">
        <f>+Plant_Information!$B$13</f>
        <v>12</v>
      </c>
      <c r="AB700" s="131" t="str">
        <f>+Plant_Information!$B$14</f>
        <v>CUY</v>
      </c>
      <c r="AC700" s="70"/>
    </row>
    <row r="701" spans="17:29" x14ac:dyDescent="0.2">
      <c r="Q701" t="str">
        <f>Plant_Information!$B$6</f>
        <v>(INSERT VENDOR NAME HERE)</v>
      </c>
      <c r="R701" t="str">
        <f>'HAULING RATES- ODOT Locations'!$A$80</f>
        <v>District 5</v>
      </c>
      <c r="S701" t="str">
        <f>'HAULING RATES- ODOT Locations'!A91</f>
        <v>Knox</v>
      </c>
      <c r="T701" t="str">
        <f>'HAULING RATES- ODOT Locations'!B91</f>
        <v>505 Harcourt Rd., Mt. Vernon, OH 43050</v>
      </c>
      <c r="U701" t="str">
        <f>'HAULING RATES- ODOT Locations'!F$8</f>
        <v>Sand</v>
      </c>
      <c r="V701" s="146">
        <f>'HAULING RATES- ODOT Locations'!F91</f>
        <v>0</v>
      </c>
      <c r="W701" s="131" t="str">
        <f>+'Aggregate, Plant Pick-up'!$C$6</f>
        <v>LAFARGE-MARBLEHEAD "OSBORNE-CLEVELAND"</v>
      </c>
      <c r="X701" s="131" t="str">
        <f>+Plant_Information!$B$10</f>
        <v>04105-28</v>
      </c>
      <c r="Y701" s="131" t="str">
        <f>+Plant_Information!$B$11</f>
        <v>2100 CENTRAL FURNACE ROAD</v>
      </c>
      <c r="Z701" s="131" t="str">
        <f>+Plant_Information!$B$12</f>
        <v>CLEVELAND, OH, 44115</v>
      </c>
      <c r="AA701" s="131" t="str">
        <f>+Plant_Information!$B$13</f>
        <v>12</v>
      </c>
      <c r="AB701" s="131" t="str">
        <f>+Plant_Information!$B$14</f>
        <v>CUY</v>
      </c>
      <c r="AC701" s="70"/>
    </row>
    <row r="702" spans="17:29" x14ac:dyDescent="0.2">
      <c r="Q702" t="str">
        <f>Plant_Information!$B$6</f>
        <v>(INSERT VENDOR NAME HERE)</v>
      </c>
      <c r="R702" t="str">
        <f>'HAULING RATES- ODOT Locations'!$A$80</f>
        <v>District 5</v>
      </c>
      <c r="S702" t="str">
        <f>'HAULING RATES- ODOT Locations'!A92</f>
        <v>Knox</v>
      </c>
      <c r="T702" t="str">
        <f>'HAULING RATES- ODOT Locations'!B92</f>
        <v>44 Mt. Vernon Ave., Fredericktown, 43010</v>
      </c>
      <c r="U702" t="str">
        <f>'HAULING RATES- ODOT Locations'!F$8</f>
        <v>Sand</v>
      </c>
      <c r="V702" s="146">
        <f>'HAULING RATES- ODOT Locations'!F92</f>
        <v>0</v>
      </c>
      <c r="W702" s="131" t="str">
        <f>+'Aggregate, Plant Pick-up'!$C$6</f>
        <v>LAFARGE-MARBLEHEAD "OSBORNE-CLEVELAND"</v>
      </c>
      <c r="X702" s="131" t="str">
        <f>+Plant_Information!$B$10</f>
        <v>04105-28</v>
      </c>
      <c r="Y702" s="131" t="str">
        <f>+Plant_Information!$B$11</f>
        <v>2100 CENTRAL FURNACE ROAD</v>
      </c>
      <c r="Z702" s="131" t="str">
        <f>+Plant_Information!$B$12</f>
        <v>CLEVELAND, OH, 44115</v>
      </c>
      <c r="AA702" s="131" t="str">
        <f>+Plant_Information!$B$13</f>
        <v>12</v>
      </c>
      <c r="AB702" s="131" t="str">
        <f>+Plant_Information!$B$14</f>
        <v>CUY</v>
      </c>
      <c r="AC702" s="70"/>
    </row>
    <row r="703" spans="17:29" x14ac:dyDescent="0.2">
      <c r="Q703" t="str">
        <f>Plant_Information!$B$6</f>
        <v>(INSERT VENDOR NAME HERE)</v>
      </c>
      <c r="R703" t="str">
        <f>'HAULING RATES- ODOT Locations'!$A$80</f>
        <v>District 5</v>
      </c>
      <c r="S703" t="str">
        <f>'HAULING RATES- ODOT Locations'!A93</f>
        <v>Licking</v>
      </c>
      <c r="T703" t="str">
        <f>'HAULING RATES- ODOT Locations'!B93</f>
        <v>9600 Jacksontown Rd., Jacksontown, OH 43030</v>
      </c>
      <c r="U703" t="str">
        <f>'HAULING RATES- ODOT Locations'!F$8</f>
        <v>Sand</v>
      </c>
      <c r="V703" s="146">
        <f>'HAULING RATES- ODOT Locations'!F93</f>
        <v>0</v>
      </c>
      <c r="W703" s="131" t="str">
        <f>+'Aggregate, Plant Pick-up'!$C$6</f>
        <v>LAFARGE-MARBLEHEAD "OSBORNE-CLEVELAND"</v>
      </c>
      <c r="X703" s="131" t="str">
        <f>+Plant_Information!$B$10</f>
        <v>04105-28</v>
      </c>
      <c r="Y703" s="131" t="str">
        <f>+Plant_Information!$B$11</f>
        <v>2100 CENTRAL FURNACE ROAD</v>
      </c>
      <c r="Z703" s="131" t="str">
        <f>+Plant_Information!$B$12</f>
        <v>CLEVELAND, OH, 44115</v>
      </c>
      <c r="AA703" s="131" t="str">
        <f>+Plant_Information!$B$13</f>
        <v>12</v>
      </c>
      <c r="AB703" s="131" t="str">
        <f>+Plant_Information!$B$14</f>
        <v>CUY</v>
      </c>
      <c r="AC703" s="70"/>
    </row>
    <row r="704" spans="17:29" x14ac:dyDescent="0.2">
      <c r="Q704" t="str">
        <f>Plant_Information!$B$6</f>
        <v>(INSERT VENDOR NAME HERE)</v>
      </c>
      <c r="R704" t="str">
        <f>'HAULING RATES- ODOT Locations'!$A$80</f>
        <v>District 5</v>
      </c>
      <c r="S704" t="str">
        <f>'HAULING RATES- ODOT Locations'!A94</f>
        <v>Licking</v>
      </c>
      <c r="T704" t="str">
        <f>'HAULING RATES- ODOT Locations'!B94</f>
        <v>Etna OP, 10250 Refugee Rd., Pataskala, OH 43062</v>
      </c>
      <c r="U704" t="str">
        <f>'HAULING RATES- ODOT Locations'!F$8</f>
        <v>Sand</v>
      </c>
      <c r="V704" s="146">
        <f>'HAULING RATES- ODOT Locations'!F94</f>
        <v>0</v>
      </c>
      <c r="W704" s="131" t="str">
        <f>+'Aggregate, Plant Pick-up'!$C$6</f>
        <v>LAFARGE-MARBLEHEAD "OSBORNE-CLEVELAND"</v>
      </c>
      <c r="X704" s="131" t="str">
        <f>+Plant_Information!$B$10</f>
        <v>04105-28</v>
      </c>
      <c r="Y704" s="131" t="str">
        <f>+Plant_Information!$B$11</f>
        <v>2100 CENTRAL FURNACE ROAD</v>
      </c>
      <c r="Z704" s="131" t="str">
        <f>+Plant_Information!$B$12</f>
        <v>CLEVELAND, OH, 44115</v>
      </c>
      <c r="AA704" s="131" t="str">
        <f>+Plant_Information!$B$13</f>
        <v>12</v>
      </c>
      <c r="AB704" s="131" t="str">
        <f>+Plant_Information!$B$14</f>
        <v>CUY</v>
      </c>
      <c r="AC704" s="70"/>
    </row>
    <row r="705" spans="17:29" x14ac:dyDescent="0.2">
      <c r="Q705" t="str">
        <f>Plant_Information!$B$6</f>
        <v>(INSERT VENDOR NAME HERE)</v>
      </c>
      <c r="R705" t="str">
        <f>'HAULING RATES- ODOT Locations'!$A$80</f>
        <v>District 5</v>
      </c>
      <c r="S705" t="str">
        <f>'HAULING RATES- ODOT Locations'!A95</f>
        <v>Licking</v>
      </c>
      <c r="T705" t="str">
        <f>'HAULING RATES- ODOT Locations'!B95</f>
        <v>2142 Johnstown-Utica Rd., Utica, OH 43080</v>
      </c>
      <c r="U705" t="str">
        <f>'HAULING RATES- ODOT Locations'!F$8</f>
        <v>Sand</v>
      </c>
      <c r="V705" s="146">
        <f>'HAULING RATES- ODOT Locations'!F95</f>
        <v>0</v>
      </c>
      <c r="W705" s="131" t="str">
        <f>+'Aggregate, Plant Pick-up'!$C$6</f>
        <v>LAFARGE-MARBLEHEAD "OSBORNE-CLEVELAND"</v>
      </c>
      <c r="X705" s="131" t="str">
        <f>+Plant_Information!$B$10</f>
        <v>04105-28</v>
      </c>
      <c r="Y705" s="131" t="str">
        <f>+Plant_Information!$B$11</f>
        <v>2100 CENTRAL FURNACE ROAD</v>
      </c>
      <c r="Z705" s="131" t="str">
        <f>+Plant_Information!$B$12</f>
        <v>CLEVELAND, OH, 44115</v>
      </c>
      <c r="AA705" s="131" t="str">
        <f>+Plant_Information!$B$13</f>
        <v>12</v>
      </c>
      <c r="AB705" s="131" t="str">
        <f>+Plant_Information!$B$14</f>
        <v>CUY</v>
      </c>
      <c r="AC705" s="70"/>
    </row>
    <row r="706" spans="17:29" x14ac:dyDescent="0.2">
      <c r="Q706" t="str">
        <f>Plant_Information!$B$6</f>
        <v>(INSERT VENDOR NAME HERE)</v>
      </c>
      <c r="R706" t="str">
        <f>'HAULING RATES- ODOT Locations'!$A$80</f>
        <v>District 5</v>
      </c>
      <c r="S706" t="str">
        <f>'HAULING RATES- ODOT Locations'!A96</f>
        <v>Licking</v>
      </c>
      <c r="T706" t="str">
        <f>'HAULING RATES- ODOT Locations'!B96</f>
        <v>10694 Brownsville Rd., SW, Brownsville, OH 43721</v>
      </c>
      <c r="U706" t="str">
        <f>'HAULING RATES- ODOT Locations'!F$8</f>
        <v>Sand</v>
      </c>
      <c r="V706" s="146">
        <f>'HAULING RATES- ODOT Locations'!F96</f>
        <v>0</v>
      </c>
      <c r="W706" s="131" t="str">
        <f>+'Aggregate, Plant Pick-up'!$C$6</f>
        <v>LAFARGE-MARBLEHEAD "OSBORNE-CLEVELAND"</v>
      </c>
      <c r="X706" s="131" t="str">
        <f>+Plant_Information!$B$10</f>
        <v>04105-28</v>
      </c>
      <c r="Y706" s="131" t="str">
        <f>+Plant_Information!$B$11</f>
        <v>2100 CENTRAL FURNACE ROAD</v>
      </c>
      <c r="Z706" s="131" t="str">
        <f>+Plant_Information!$B$12</f>
        <v>CLEVELAND, OH, 44115</v>
      </c>
      <c r="AA706" s="131" t="str">
        <f>+Plant_Information!$B$13</f>
        <v>12</v>
      </c>
      <c r="AB706" s="131" t="str">
        <f>+Plant_Information!$B$14</f>
        <v>CUY</v>
      </c>
      <c r="AC706" s="70"/>
    </row>
    <row r="707" spans="17:29" x14ac:dyDescent="0.2">
      <c r="Q707" t="str">
        <f>Plant_Information!$B$6</f>
        <v>(INSERT VENDOR NAME HERE)</v>
      </c>
      <c r="R707" t="str">
        <f>'HAULING RATES- ODOT Locations'!$A$80</f>
        <v>District 5</v>
      </c>
      <c r="S707" t="str">
        <f>'HAULING RATES- ODOT Locations'!A97</f>
        <v>Licking</v>
      </c>
      <c r="T707" t="str">
        <f>'HAULING RATES- ODOT Locations'!B97</f>
        <v>Marne OP, 11416 Marne Rd., Newark, OH 43055</v>
      </c>
      <c r="U707" t="str">
        <f>'HAULING RATES- ODOT Locations'!F$8</f>
        <v>Sand</v>
      </c>
      <c r="V707" s="146">
        <f>'HAULING RATES- ODOT Locations'!F97</f>
        <v>0</v>
      </c>
      <c r="W707" s="131" t="str">
        <f>+'Aggregate, Plant Pick-up'!$C$6</f>
        <v>LAFARGE-MARBLEHEAD "OSBORNE-CLEVELAND"</v>
      </c>
      <c r="X707" s="131" t="str">
        <f>+Plant_Information!$B$10</f>
        <v>04105-28</v>
      </c>
      <c r="Y707" s="131" t="str">
        <f>+Plant_Information!$B$11</f>
        <v>2100 CENTRAL FURNACE ROAD</v>
      </c>
      <c r="Z707" s="131" t="str">
        <f>+Plant_Information!$B$12</f>
        <v>CLEVELAND, OH, 44115</v>
      </c>
      <c r="AA707" s="131" t="str">
        <f>+Plant_Information!$B$13</f>
        <v>12</v>
      </c>
      <c r="AB707" s="131" t="str">
        <f>+Plant_Information!$B$14</f>
        <v>CUY</v>
      </c>
      <c r="AC707" s="70"/>
    </row>
    <row r="708" spans="17:29" x14ac:dyDescent="0.2">
      <c r="Q708" t="str">
        <f>Plant_Information!$B$6</f>
        <v>(INSERT VENDOR NAME HERE)</v>
      </c>
      <c r="R708" t="str">
        <f>'HAULING RATES- ODOT Locations'!$A$80</f>
        <v>District 5</v>
      </c>
      <c r="S708" t="str">
        <f>'HAULING RATES- ODOT Locations'!A98</f>
        <v>Muskingum</v>
      </c>
      <c r="T708" t="str">
        <f>'HAULING RATES- ODOT Locations'!B98</f>
        <v>3399 East Pike, Zanesville, OH 43701</v>
      </c>
      <c r="U708" t="str">
        <f>'HAULING RATES- ODOT Locations'!F$8</f>
        <v>Sand</v>
      </c>
      <c r="V708" s="146">
        <f>'HAULING RATES- ODOT Locations'!F98</f>
        <v>0</v>
      </c>
      <c r="W708" s="131" t="str">
        <f>+'Aggregate, Plant Pick-up'!$C$6</f>
        <v>LAFARGE-MARBLEHEAD "OSBORNE-CLEVELAND"</v>
      </c>
      <c r="X708" s="131" t="str">
        <f>+Plant_Information!$B$10</f>
        <v>04105-28</v>
      </c>
      <c r="Y708" s="131" t="str">
        <f>+Plant_Information!$B$11</f>
        <v>2100 CENTRAL FURNACE ROAD</v>
      </c>
      <c r="Z708" s="131" t="str">
        <f>+Plant_Information!$B$12</f>
        <v>CLEVELAND, OH, 44115</v>
      </c>
      <c r="AA708" s="131" t="str">
        <f>+Plant_Information!$B$13</f>
        <v>12</v>
      </c>
      <c r="AB708" s="131" t="str">
        <f>+Plant_Information!$B$14</f>
        <v>CUY</v>
      </c>
      <c r="AC708" s="70"/>
    </row>
    <row r="709" spans="17:29" x14ac:dyDescent="0.2">
      <c r="Q709" t="str">
        <f>Plant_Information!$B$6</f>
        <v>(INSERT VENDOR NAME HERE)</v>
      </c>
      <c r="R709" t="str">
        <f>'HAULING RATES- ODOT Locations'!$A$80</f>
        <v>District 5</v>
      </c>
      <c r="S709" t="str">
        <f>'HAULING RATES- ODOT Locations'!A99</f>
        <v>Muskingum</v>
      </c>
      <c r="T709" t="str">
        <f>'HAULING RATES- ODOT Locations'!B99</f>
        <v>10040 North Pointe Rd., Dresden, OH 43821</v>
      </c>
      <c r="U709" t="str">
        <f>'HAULING RATES- ODOT Locations'!F$8</f>
        <v>Sand</v>
      </c>
      <c r="V709" s="146">
        <f>'HAULING RATES- ODOT Locations'!F99</f>
        <v>0</v>
      </c>
      <c r="W709" s="131" t="str">
        <f>+'Aggregate, Plant Pick-up'!$C$6</f>
        <v>LAFARGE-MARBLEHEAD "OSBORNE-CLEVELAND"</v>
      </c>
      <c r="X709" s="131" t="str">
        <f>+Plant_Information!$B$10</f>
        <v>04105-28</v>
      </c>
      <c r="Y709" s="131" t="str">
        <f>+Plant_Information!$B$11</f>
        <v>2100 CENTRAL FURNACE ROAD</v>
      </c>
      <c r="Z709" s="131" t="str">
        <f>+Plant_Information!$B$12</f>
        <v>CLEVELAND, OH, 44115</v>
      </c>
      <c r="AA709" s="131" t="str">
        <f>+Plant_Information!$B$13</f>
        <v>12</v>
      </c>
      <c r="AB709" s="131" t="str">
        <f>+Plant_Information!$B$14</f>
        <v>CUY</v>
      </c>
      <c r="AC709" s="70"/>
    </row>
    <row r="710" spans="17:29" x14ac:dyDescent="0.2">
      <c r="Q710" t="str">
        <f>Plant_Information!$B$6</f>
        <v>(INSERT VENDOR NAME HERE)</v>
      </c>
      <c r="R710" t="str">
        <f>'HAULING RATES- ODOT Locations'!$A$80</f>
        <v>District 5</v>
      </c>
      <c r="S710" t="str">
        <f>'HAULING RATES- ODOT Locations'!A100</f>
        <v>Muskingum</v>
      </c>
      <c r="T710" t="str">
        <f>'HAULING RATES- ODOT Locations'!B100</f>
        <v>4625 South River Road, Duncan Falls, OH 43734</v>
      </c>
      <c r="U710" t="str">
        <f>'HAULING RATES- ODOT Locations'!F$8</f>
        <v>Sand</v>
      </c>
      <c r="V710" s="146">
        <f>'HAULING RATES- ODOT Locations'!F100</f>
        <v>0</v>
      </c>
      <c r="W710" s="131" t="str">
        <f>+'Aggregate, Plant Pick-up'!$C$6</f>
        <v>LAFARGE-MARBLEHEAD "OSBORNE-CLEVELAND"</v>
      </c>
      <c r="X710" s="131" t="str">
        <f>+Plant_Information!$B$10</f>
        <v>04105-28</v>
      </c>
      <c r="Y710" s="131" t="str">
        <f>+Plant_Information!$B$11</f>
        <v>2100 CENTRAL FURNACE ROAD</v>
      </c>
      <c r="Z710" s="131" t="str">
        <f>+Plant_Information!$B$12</f>
        <v>CLEVELAND, OH, 44115</v>
      </c>
      <c r="AA710" s="131" t="str">
        <f>+Plant_Information!$B$13</f>
        <v>12</v>
      </c>
      <c r="AB710" s="131" t="str">
        <f>+Plant_Information!$B$14</f>
        <v>CUY</v>
      </c>
      <c r="AC710" s="70"/>
    </row>
    <row r="711" spans="17:29" x14ac:dyDescent="0.2">
      <c r="Q711" t="str">
        <f>Plant_Information!$B$6</f>
        <v>(INSERT VENDOR NAME HERE)</v>
      </c>
      <c r="R711" t="str">
        <f>'HAULING RATES- ODOT Locations'!$A$80</f>
        <v>District 5</v>
      </c>
      <c r="S711" t="str">
        <f>'HAULING RATES- ODOT Locations'!A101</f>
        <v>Muskingum</v>
      </c>
      <c r="T711" t="str">
        <f>'HAULING RATES- ODOT Locations'!B101</f>
        <v>Moxahala OP, 3799 Maysville Pike, South Zanesville, OH 43701</v>
      </c>
      <c r="U711" t="str">
        <f>'HAULING RATES- ODOT Locations'!F$8</f>
        <v>Sand</v>
      </c>
      <c r="V711" s="146">
        <f>'HAULING RATES- ODOT Locations'!F101</f>
        <v>0</v>
      </c>
      <c r="W711" s="131" t="str">
        <f>+'Aggregate, Plant Pick-up'!$C$6</f>
        <v>LAFARGE-MARBLEHEAD "OSBORNE-CLEVELAND"</v>
      </c>
      <c r="X711" s="131" t="str">
        <f>+Plant_Information!$B$10</f>
        <v>04105-28</v>
      </c>
      <c r="Y711" s="131" t="str">
        <f>+Plant_Information!$B$11</f>
        <v>2100 CENTRAL FURNACE ROAD</v>
      </c>
      <c r="Z711" s="131" t="str">
        <f>+Plant_Information!$B$12</f>
        <v>CLEVELAND, OH, 44115</v>
      </c>
      <c r="AA711" s="131" t="str">
        <f>+Plant_Information!$B$13</f>
        <v>12</v>
      </c>
      <c r="AB711" s="131" t="str">
        <f>+Plant_Information!$B$14</f>
        <v>CUY</v>
      </c>
      <c r="AC711" s="70"/>
    </row>
    <row r="712" spans="17:29" x14ac:dyDescent="0.2">
      <c r="Q712" t="str">
        <f>Plant_Information!$B$6</f>
        <v>(INSERT VENDOR NAME HERE)</v>
      </c>
      <c r="R712" t="str">
        <f>'HAULING RATES- ODOT Locations'!$A$80</f>
        <v>District 5</v>
      </c>
      <c r="S712" t="str">
        <f>'HAULING RATES- ODOT Locations'!A102</f>
        <v>Perry</v>
      </c>
      <c r="T712" t="str">
        <f>'HAULING RATES- ODOT Locations'!B102</f>
        <v>2405 SR 13, New Lexington, OH 43764  ( 0.3 mi. n. of SR 37)</v>
      </c>
      <c r="U712" t="str">
        <f>'HAULING RATES- ODOT Locations'!F$8</f>
        <v>Sand</v>
      </c>
      <c r="V712" s="146">
        <f>'HAULING RATES- ODOT Locations'!F102</f>
        <v>0</v>
      </c>
      <c r="W712" s="131" t="str">
        <f>+'Aggregate, Plant Pick-up'!$C$6</f>
        <v>LAFARGE-MARBLEHEAD "OSBORNE-CLEVELAND"</v>
      </c>
      <c r="X712" s="131" t="str">
        <f>+Plant_Information!$B$10</f>
        <v>04105-28</v>
      </c>
      <c r="Y712" s="131" t="str">
        <f>+Plant_Information!$B$11</f>
        <v>2100 CENTRAL FURNACE ROAD</v>
      </c>
      <c r="Z712" s="131" t="str">
        <f>+Plant_Information!$B$12</f>
        <v>CLEVELAND, OH, 44115</v>
      </c>
      <c r="AA712" s="131" t="str">
        <f>+Plant_Information!$B$13</f>
        <v>12</v>
      </c>
      <c r="AB712" s="131" t="str">
        <f>+Plant_Information!$B$14</f>
        <v>CUY</v>
      </c>
      <c r="AC712" s="70"/>
    </row>
    <row r="713" spans="17:29" x14ac:dyDescent="0.2">
      <c r="Q713" t="str">
        <f>Plant_Information!$B$6</f>
        <v>(INSERT VENDOR NAME HERE)</v>
      </c>
      <c r="R713" t="str">
        <f>'HAULING RATES- ODOT Locations'!$A$80</f>
        <v>District 5</v>
      </c>
      <c r="S713" t="str">
        <f>'HAULING RATES- ODOT Locations'!A103</f>
        <v>Perry</v>
      </c>
      <c r="T713" t="str">
        <f>'HAULING RATES- ODOT Locations'!B103</f>
        <v>8686 SR 155, Shawnee, OH 43782</v>
      </c>
      <c r="U713" t="str">
        <f>'HAULING RATES- ODOT Locations'!F$8</f>
        <v>Sand</v>
      </c>
      <c r="V713" s="146">
        <f>'HAULING RATES- ODOT Locations'!F103</f>
        <v>0</v>
      </c>
      <c r="W713" s="131" t="str">
        <f>+'Aggregate, Plant Pick-up'!$C$6</f>
        <v>LAFARGE-MARBLEHEAD "OSBORNE-CLEVELAND"</v>
      </c>
      <c r="X713" s="131" t="str">
        <f>+Plant_Information!$B$10</f>
        <v>04105-28</v>
      </c>
      <c r="Y713" s="131" t="str">
        <f>+Plant_Information!$B$11</f>
        <v>2100 CENTRAL FURNACE ROAD</v>
      </c>
      <c r="Z713" s="131" t="str">
        <f>+Plant_Information!$B$12</f>
        <v>CLEVELAND, OH, 44115</v>
      </c>
      <c r="AA713" s="131" t="str">
        <f>+Plant_Information!$B$13</f>
        <v>12</v>
      </c>
      <c r="AB713" s="131" t="str">
        <f>+Plant_Information!$B$14</f>
        <v>CUY</v>
      </c>
      <c r="AC713" s="70"/>
    </row>
    <row r="714" spans="17:29" x14ac:dyDescent="0.2">
      <c r="Q714" t="str">
        <f>Plant_Information!$B$6</f>
        <v>(INSERT VENDOR NAME HERE)</v>
      </c>
      <c r="R714" t="str">
        <f>'HAULING RATES- ODOT Locations'!$A$104</f>
        <v>District 6</v>
      </c>
      <c r="S714" t="str">
        <f>'HAULING RATES- ODOT Locations'!A107</f>
        <v>Delaware</v>
      </c>
      <c r="T714" t="str">
        <f>'HAULING RATES- ODOT Locations'!B107</f>
        <v>Delaware Co. Gar.,1150 U.S. 42 North, Delaware, OH 43015</v>
      </c>
      <c r="U714" t="str">
        <f>'HAULING RATES- ODOT Locations'!F$8</f>
        <v>Sand</v>
      </c>
      <c r="V714" s="146">
        <f>'HAULING RATES- ODOT Locations'!F107</f>
        <v>0</v>
      </c>
      <c r="W714" s="131" t="str">
        <f>+'Aggregate, Plant Pick-up'!$C$6</f>
        <v>LAFARGE-MARBLEHEAD "OSBORNE-CLEVELAND"</v>
      </c>
      <c r="X714" s="131" t="str">
        <f>+Plant_Information!$B$10</f>
        <v>04105-28</v>
      </c>
      <c r="Y714" s="131" t="str">
        <f>+Plant_Information!$B$11</f>
        <v>2100 CENTRAL FURNACE ROAD</v>
      </c>
      <c r="Z714" s="131" t="str">
        <f>+Plant_Information!$B$12</f>
        <v>CLEVELAND, OH, 44115</v>
      </c>
      <c r="AA714" s="131" t="str">
        <f>+Plant_Information!$B$13</f>
        <v>12</v>
      </c>
      <c r="AB714" s="131" t="str">
        <f>+Plant_Information!$B$14</f>
        <v>CUY</v>
      </c>
      <c r="AC714" s="70"/>
    </row>
    <row r="715" spans="17:29" x14ac:dyDescent="0.2">
      <c r="Q715" t="str">
        <f>Plant_Information!$B$6</f>
        <v>(INSERT VENDOR NAME HERE)</v>
      </c>
      <c r="R715" t="str">
        <f>'HAULING RATES- ODOT Locations'!$A$104</f>
        <v>District 6</v>
      </c>
      <c r="S715" t="str">
        <f>'HAULING RATES- ODOT Locations'!A108</f>
        <v>Delaware</v>
      </c>
      <c r="T715" t="str">
        <f>'HAULING RATES- ODOT Locations'!B108</f>
        <v>Berkshire OP, 7016 E State Route 37, Sunbury, Oh  43074</v>
      </c>
      <c r="U715" t="str">
        <f>'HAULING RATES- ODOT Locations'!F$8</f>
        <v>Sand</v>
      </c>
      <c r="V715" s="146">
        <f>'HAULING RATES- ODOT Locations'!F108</f>
        <v>0</v>
      </c>
      <c r="W715" s="131" t="str">
        <f>+'Aggregate, Plant Pick-up'!$C$6</f>
        <v>LAFARGE-MARBLEHEAD "OSBORNE-CLEVELAND"</v>
      </c>
      <c r="X715" s="131" t="str">
        <f>+Plant_Information!$B$10</f>
        <v>04105-28</v>
      </c>
      <c r="Y715" s="131" t="str">
        <f>+Plant_Information!$B$11</f>
        <v>2100 CENTRAL FURNACE ROAD</v>
      </c>
      <c r="Z715" s="131" t="str">
        <f>+Plant_Information!$B$12</f>
        <v>CLEVELAND, OH, 44115</v>
      </c>
      <c r="AA715" s="131" t="str">
        <f>+Plant_Information!$B$13</f>
        <v>12</v>
      </c>
      <c r="AB715" s="131" t="str">
        <f>+Plant_Information!$B$14</f>
        <v>CUY</v>
      </c>
      <c r="AC715" s="70"/>
    </row>
    <row r="716" spans="17:29" x14ac:dyDescent="0.2">
      <c r="Q716" t="str">
        <f>Plant_Information!$B$6</f>
        <v>(INSERT VENDOR NAME HERE)</v>
      </c>
      <c r="R716" t="str">
        <f>'HAULING RATES- ODOT Locations'!$A$104</f>
        <v>District 6</v>
      </c>
      <c r="S716" t="str">
        <f>'HAULING RATES- ODOT Locations'!A109</f>
        <v>Delaware</v>
      </c>
      <c r="T716" t="str">
        <f>'HAULING RATES- ODOT Locations'!B109</f>
        <v>Sunbury OP, Morning St., Sunbury</v>
      </c>
      <c r="U716" t="str">
        <f>'HAULING RATES- ODOT Locations'!F$8</f>
        <v>Sand</v>
      </c>
      <c r="V716" s="146">
        <f>'HAULING RATES- ODOT Locations'!F109</f>
        <v>0</v>
      </c>
      <c r="W716" s="131" t="str">
        <f>+'Aggregate, Plant Pick-up'!$C$6</f>
        <v>LAFARGE-MARBLEHEAD "OSBORNE-CLEVELAND"</v>
      </c>
      <c r="X716" s="131" t="str">
        <f>+Plant_Information!$B$10</f>
        <v>04105-28</v>
      </c>
      <c r="Y716" s="131" t="str">
        <f>+Plant_Information!$B$11</f>
        <v>2100 CENTRAL FURNACE ROAD</v>
      </c>
      <c r="Z716" s="131" t="str">
        <f>+Plant_Information!$B$12</f>
        <v>CLEVELAND, OH, 44115</v>
      </c>
      <c r="AA716" s="131" t="str">
        <f>+Plant_Information!$B$13</f>
        <v>12</v>
      </c>
      <c r="AB716" s="131" t="str">
        <f>+Plant_Information!$B$14</f>
        <v>CUY</v>
      </c>
      <c r="AC716" s="70"/>
    </row>
    <row r="717" spans="17:29" x14ac:dyDescent="0.2">
      <c r="Q717" t="str">
        <f>Plant_Information!$B$6</f>
        <v>(INSERT VENDOR NAME HERE)</v>
      </c>
      <c r="R717" t="str">
        <f>'HAULING RATES- ODOT Locations'!$A$104</f>
        <v>District 6</v>
      </c>
      <c r="S717" t="str">
        <f>'HAULING RATES- ODOT Locations'!A110</f>
        <v>Fayette</v>
      </c>
      <c r="T717" t="str">
        <f>'HAULING RATES- ODOT Locations'!B110</f>
        <v>Fayette Co. Gar., 2331 US 22 SW, Washington Court House, OH 43160</v>
      </c>
      <c r="U717" t="str">
        <f>'HAULING RATES- ODOT Locations'!F$8</f>
        <v>Sand</v>
      </c>
      <c r="V717" s="146">
        <f>'HAULING RATES- ODOT Locations'!F110</f>
        <v>0</v>
      </c>
      <c r="W717" s="131" t="str">
        <f>+'Aggregate, Plant Pick-up'!$C$6</f>
        <v>LAFARGE-MARBLEHEAD "OSBORNE-CLEVELAND"</v>
      </c>
      <c r="X717" s="131" t="str">
        <f>+Plant_Information!$B$10</f>
        <v>04105-28</v>
      </c>
      <c r="Y717" s="131" t="str">
        <f>+Plant_Information!$B$11</f>
        <v>2100 CENTRAL FURNACE ROAD</v>
      </c>
      <c r="Z717" s="131" t="str">
        <f>+Plant_Information!$B$12</f>
        <v>CLEVELAND, OH, 44115</v>
      </c>
      <c r="AA717" s="131" t="str">
        <f>+Plant_Information!$B$13</f>
        <v>12</v>
      </c>
      <c r="AB717" s="131" t="str">
        <f>+Plant_Information!$B$14</f>
        <v>CUY</v>
      </c>
      <c r="AC717" s="70"/>
    </row>
    <row r="718" spans="17:29" x14ac:dyDescent="0.2">
      <c r="Q718" t="str">
        <f>Plant_Information!$B$6</f>
        <v>(INSERT VENDOR NAME HERE)</v>
      </c>
      <c r="R718" t="str">
        <f>'HAULING RATES- ODOT Locations'!$A$104</f>
        <v>District 6</v>
      </c>
      <c r="S718" t="str">
        <f>'HAULING RATES- ODOT Locations'!A111</f>
        <v>Fayette</v>
      </c>
      <c r="T718" t="str">
        <f>'HAULING RATES- ODOT Locations'!B111</f>
        <v>Jeffersonville OP, 11859 OH-435, Jeffersonville, OH 43128</v>
      </c>
      <c r="U718" t="str">
        <f>'HAULING RATES- ODOT Locations'!F$8</f>
        <v>Sand</v>
      </c>
      <c r="V718" s="146">
        <f>'HAULING RATES- ODOT Locations'!F111</f>
        <v>0</v>
      </c>
      <c r="W718" s="131" t="str">
        <f>+'Aggregate, Plant Pick-up'!$C$6</f>
        <v>LAFARGE-MARBLEHEAD "OSBORNE-CLEVELAND"</v>
      </c>
      <c r="X718" s="131" t="str">
        <f>+Plant_Information!$B$10</f>
        <v>04105-28</v>
      </c>
      <c r="Y718" s="131" t="str">
        <f>+Plant_Information!$B$11</f>
        <v>2100 CENTRAL FURNACE ROAD</v>
      </c>
      <c r="Z718" s="131" t="str">
        <f>+Plant_Information!$B$12</f>
        <v>CLEVELAND, OH, 44115</v>
      </c>
      <c r="AA718" s="131" t="str">
        <f>+Plant_Information!$B$13</f>
        <v>12</v>
      </c>
      <c r="AB718" s="131" t="str">
        <f>+Plant_Information!$B$14</f>
        <v>CUY</v>
      </c>
      <c r="AC718" s="70"/>
    </row>
    <row r="719" spans="17:29" x14ac:dyDescent="0.2">
      <c r="Q719" t="str">
        <f>Plant_Information!$B$6</f>
        <v>(INSERT VENDOR NAME HERE)</v>
      </c>
      <c r="R719" t="str">
        <f>'HAULING RATES- ODOT Locations'!$A$104</f>
        <v>District 6</v>
      </c>
      <c r="S719" t="str">
        <f>'HAULING RATES- ODOT Locations'!A112</f>
        <v>Franklin</v>
      </c>
      <c r="T719" t="str">
        <f>'HAULING RATES- ODOT Locations'!B112</f>
        <v>Fifth Ave. OP, 3500 E Fifth Avenue, Columbus OH 43219</v>
      </c>
      <c r="U719" t="str">
        <f>'HAULING RATES- ODOT Locations'!F$8</f>
        <v>Sand</v>
      </c>
      <c r="V719" s="146">
        <f>'HAULING RATES- ODOT Locations'!F112</f>
        <v>0</v>
      </c>
      <c r="W719" s="131" t="str">
        <f>+'Aggregate, Plant Pick-up'!$C$6</f>
        <v>LAFARGE-MARBLEHEAD "OSBORNE-CLEVELAND"</v>
      </c>
      <c r="X719" s="131" t="str">
        <f>+Plant_Information!$B$10</f>
        <v>04105-28</v>
      </c>
      <c r="Y719" s="131" t="str">
        <f>+Plant_Information!$B$11</f>
        <v>2100 CENTRAL FURNACE ROAD</v>
      </c>
      <c r="Z719" s="131" t="str">
        <f>+Plant_Information!$B$12</f>
        <v>CLEVELAND, OH, 44115</v>
      </c>
      <c r="AA719" s="131" t="str">
        <f>+Plant_Information!$B$13</f>
        <v>12</v>
      </c>
      <c r="AB719" s="131" t="str">
        <f>+Plant_Information!$B$14</f>
        <v>CUY</v>
      </c>
      <c r="AC719" s="70"/>
    </row>
    <row r="720" spans="17:29" x14ac:dyDescent="0.2">
      <c r="Q720" t="str">
        <f>Plant_Information!$B$6</f>
        <v>(INSERT VENDOR NAME HERE)</v>
      </c>
      <c r="R720" t="str">
        <f>'HAULING RATES- ODOT Locations'!$A$104</f>
        <v>District 6</v>
      </c>
      <c r="S720" t="str">
        <f>'HAULING RATES- ODOT Locations'!A113</f>
        <v>Franklin</v>
      </c>
      <c r="T720" t="str">
        <f>'HAULING RATES- ODOT Locations'!B113</f>
        <v>Grove City OP, 6000 Haughn Road, Grove City OH 43123 (SR 665 &amp; I-71)</v>
      </c>
      <c r="U720" t="str">
        <f>'HAULING RATES- ODOT Locations'!F$8</f>
        <v>Sand</v>
      </c>
      <c r="V720" s="146">
        <f>'HAULING RATES- ODOT Locations'!F113</f>
        <v>0</v>
      </c>
      <c r="W720" s="131" t="str">
        <f>+'Aggregate, Plant Pick-up'!$C$6</f>
        <v>LAFARGE-MARBLEHEAD "OSBORNE-CLEVELAND"</v>
      </c>
      <c r="X720" s="131" t="str">
        <f>+Plant_Information!$B$10</f>
        <v>04105-28</v>
      </c>
      <c r="Y720" s="131" t="str">
        <f>+Plant_Information!$B$11</f>
        <v>2100 CENTRAL FURNACE ROAD</v>
      </c>
      <c r="Z720" s="131" t="str">
        <f>+Plant_Information!$B$12</f>
        <v>CLEVELAND, OH, 44115</v>
      </c>
      <c r="AA720" s="131" t="str">
        <f>+Plant_Information!$B$13</f>
        <v>12</v>
      </c>
      <c r="AB720" s="131" t="str">
        <f>+Plant_Information!$B$14</f>
        <v>CUY</v>
      </c>
      <c r="AC720" s="70"/>
    </row>
    <row r="721" spans="17:29" x14ac:dyDescent="0.2">
      <c r="Q721" t="str">
        <f>Plant_Information!$B$6</f>
        <v>(INSERT VENDOR NAME HERE)</v>
      </c>
      <c r="R721" t="str">
        <f>'HAULING RATES- ODOT Locations'!$A$104</f>
        <v>District 6</v>
      </c>
      <c r="S721" t="str">
        <f>'HAULING RATES- ODOT Locations'!A114</f>
        <v>Franklin</v>
      </c>
      <c r="T721" t="str">
        <f>'HAULING RATES- ODOT Locations'!B114</f>
        <v>Franklin Co. Gar.,4730 E Dublin-Granville Road, Westerville OH 43081</v>
      </c>
      <c r="U721" t="str">
        <f>'HAULING RATES- ODOT Locations'!F$8</f>
        <v>Sand</v>
      </c>
      <c r="V721" s="146">
        <f>'HAULING RATES- ODOT Locations'!F114</f>
        <v>0</v>
      </c>
      <c r="W721" s="131" t="str">
        <f>+'Aggregate, Plant Pick-up'!$C$6</f>
        <v>LAFARGE-MARBLEHEAD "OSBORNE-CLEVELAND"</v>
      </c>
      <c r="X721" s="131" t="str">
        <f>+Plant_Information!$B$10</f>
        <v>04105-28</v>
      </c>
      <c r="Y721" s="131" t="str">
        <f>+Plant_Information!$B$11</f>
        <v>2100 CENTRAL FURNACE ROAD</v>
      </c>
      <c r="Z721" s="131" t="str">
        <f>+Plant_Information!$B$12</f>
        <v>CLEVELAND, OH, 44115</v>
      </c>
      <c r="AA721" s="131" t="str">
        <f>+Plant_Information!$B$13</f>
        <v>12</v>
      </c>
      <c r="AB721" s="131" t="str">
        <f>+Plant_Information!$B$14</f>
        <v>CUY</v>
      </c>
      <c r="AC721" s="70"/>
    </row>
    <row r="722" spans="17:29" x14ac:dyDescent="0.2">
      <c r="Q722" t="str">
        <f>Plant_Information!$B$6</f>
        <v>(INSERT VENDOR NAME HERE)</v>
      </c>
      <c r="R722" t="str">
        <f>'HAULING RATES- ODOT Locations'!$A$104</f>
        <v>District 6</v>
      </c>
      <c r="S722" t="str">
        <f>'HAULING RATES- ODOT Locations'!A115</f>
        <v>Franklin</v>
      </c>
      <c r="T722" t="str">
        <f>'HAULING RATES- ODOT Locations'!B115</f>
        <v>Hilliard OP, 4400 Currency Drive, Columbus OH 43288</v>
      </c>
      <c r="U722" t="str">
        <f>'HAULING RATES- ODOT Locations'!F$8</f>
        <v>Sand</v>
      </c>
      <c r="V722" s="146">
        <f>'HAULING RATES- ODOT Locations'!F115</f>
        <v>0</v>
      </c>
      <c r="W722" s="131" t="str">
        <f>+'Aggregate, Plant Pick-up'!$C$6</f>
        <v>LAFARGE-MARBLEHEAD "OSBORNE-CLEVELAND"</v>
      </c>
      <c r="X722" s="131" t="str">
        <f>+Plant_Information!$B$10</f>
        <v>04105-28</v>
      </c>
      <c r="Y722" s="131" t="str">
        <f>+Plant_Information!$B$11</f>
        <v>2100 CENTRAL FURNACE ROAD</v>
      </c>
      <c r="Z722" s="131" t="str">
        <f>+Plant_Information!$B$12</f>
        <v>CLEVELAND, OH, 44115</v>
      </c>
      <c r="AA722" s="131" t="str">
        <f>+Plant_Information!$B$13</f>
        <v>12</v>
      </c>
      <c r="AB722" s="131" t="str">
        <f>+Plant_Information!$B$14</f>
        <v>CUY</v>
      </c>
      <c r="AC722" s="70"/>
    </row>
    <row r="723" spans="17:29" x14ac:dyDescent="0.2">
      <c r="Q723" t="str">
        <f>Plant_Information!$B$6</f>
        <v>(INSERT VENDOR NAME HERE)</v>
      </c>
      <c r="R723" t="str">
        <f>'HAULING RATES- ODOT Locations'!$A$104</f>
        <v>District 6</v>
      </c>
      <c r="S723" t="str">
        <f>'HAULING RATES- ODOT Locations'!A116</f>
        <v>Madison</v>
      </c>
      <c r="T723" t="str">
        <f>'HAULING RATES- ODOT Locations'!B116</f>
        <v>6640 State Route 29, West Jefferson, OH  43162</v>
      </c>
      <c r="U723" t="str">
        <f>'HAULING RATES- ODOT Locations'!F$8</f>
        <v>Sand</v>
      </c>
      <c r="V723" s="146">
        <f>'HAULING RATES- ODOT Locations'!F116</f>
        <v>0</v>
      </c>
      <c r="W723" s="131" t="str">
        <f>+'Aggregate, Plant Pick-up'!$C$6</f>
        <v>LAFARGE-MARBLEHEAD "OSBORNE-CLEVELAND"</v>
      </c>
      <c r="X723" s="131" t="str">
        <f>+Plant_Information!$B$10</f>
        <v>04105-28</v>
      </c>
      <c r="Y723" s="131" t="str">
        <f>+Plant_Information!$B$11</f>
        <v>2100 CENTRAL FURNACE ROAD</v>
      </c>
      <c r="Z723" s="131" t="str">
        <f>+Plant_Information!$B$12</f>
        <v>CLEVELAND, OH, 44115</v>
      </c>
      <c r="AA723" s="131" t="str">
        <f>+Plant_Information!$B$13</f>
        <v>12</v>
      </c>
      <c r="AB723" s="131" t="str">
        <f>+Plant_Information!$B$14</f>
        <v>CUY</v>
      </c>
      <c r="AC723" s="70"/>
    </row>
    <row r="724" spans="17:29" x14ac:dyDescent="0.2">
      <c r="Q724" t="str">
        <f>Plant_Information!$B$6</f>
        <v>(INSERT VENDOR NAME HERE)</v>
      </c>
      <c r="R724" t="str">
        <f>'HAULING RATES- ODOT Locations'!$A$104</f>
        <v>District 6</v>
      </c>
      <c r="S724" t="str">
        <f>'HAULING RATES- ODOT Locations'!A117</f>
        <v>Madison</v>
      </c>
      <c r="T724" t="str">
        <f>'HAULING RATES- ODOT Locations'!B117</f>
        <v>15664 US 62, Mount Sterling, OH 43143</v>
      </c>
      <c r="U724" t="str">
        <f>'HAULING RATES- ODOT Locations'!F$8</f>
        <v>Sand</v>
      </c>
      <c r="V724" s="146">
        <f>'HAULING RATES- ODOT Locations'!F117</f>
        <v>0</v>
      </c>
      <c r="W724" s="131" t="str">
        <f>+'Aggregate, Plant Pick-up'!$C$6</f>
        <v>LAFARGE-MARBLEHEAD "OSBORNE-CLEVELAND"</v>
      </c>
      <c r="X724" s="131" t="str">
        <f>+Plant_Information!$B$10</f>
        <v>04105-28</v>
      </c>
      <c r="Y724" s="131" t="str">
        <f>+Plant_Information!$B$11</f>
        <v>2100 CENTRAL FURNACE ROAD</v>
      </c>
      <c r="Z724" s="131" t="str">
        <f>+Plant_Information!$B$12</f>
        <v>CLEVELAND, OH, 44115</v>
      </c>
      <c r="AA724" s="131" t="str">
        <f>+Plant_Information!$B$13</f>
        <v>12</v>
      </c>
      <c r="AB724" s="131" t="str">
        <f>+Plant_Information!$B$14</f>
        <v>CUY</v>
      </c>
      <c r="AC724" s="70"/>
    </row>
    <row r="725" spans="17:29" x14ac:dyDescent="0.2">
      <c r="Q725" t="str">
        <f>Plant_Information!$B$6</f>
        <v>(INSERT VENDOR NAME HERE)</v>
      </c>
      <c r="R725" t="str">
        <f>'HAULING RATES- ODOT Locations'!$A$104</f>
        <v>District 6</v>
      </c>
      <c r="S725" t="str">
        <f>'HAULING RATES- ODOT Locations'!A118</f>
        <v>Marion</v>
      </c>
      <c r="T725" t="str">
        <f>'HAULING RATES- ODOT Locations'!B118</f>
        <v>Marion Co. Gar., 1775 Marion-Williamsport Road E., Marion, OH 43302</v>
      </c>
      <c r="U725" t="str">
        <f>'HAULING RATES- ODOT Locations'!F$8</f>
        <v>Sand</v>
      </c>
      <c r="V725" s="146">
        <f>'HAULING RATES- ODOT Locations'!F118</f>
        <v>0</v>
      </c>
      <c r="W725" s="131" t="str">
        <f>+'Aggregate, Plant Pick-up'!$C$6</f>
        <v>LAFARGE-MARBLEHEAD "OSBORNE-CLEVELAND"</v>
      </c>
      <c r="X725" s="131" t="str">
        <f>+Plant_Information!$B$10</f>
        <v>04105-28</v>
      </c>
      <c r="Y725" s="131" t="str">
        <f>+Plant_Information!$B$11</f>
        <v>2100 CENTRAL FURNACE ROAD</v>
      </c>
      <c r="Z725" s="131" t="str">
        <f>+Plant_Information!$B$12</f>
        <v>CLEVELAND, OH, 44115</v>
      </c>
      <c r="AA725" s="131" t="str">
        <f>+Plant_Information!$B$13</f>
        <v>12</v>
      </c>
      <c r="AB725" s="131" t="str">
        <f>+Plant_Information!$B$14</f>
        <v>CUY</v>
      </c>
      <c r="AC725" s="70"/>
    </row>
    <row r="726" spans="17:29" x14ac:dyDescent="0.2">
      <c r="Q726" t="str">
        <f>Plant_Information!$B$6</f>
        <v>(INSERT VENDOR NAME HERE)</v>
      </c>
      <c r="R726" t="str">
        <f>'HAULING RATES- ODOT Locations'!$A$104</f>
        <v>District 6</v>
      </c>
      <c r="S726" t="str">
        <f>'HAULING RATES- ODOT Locations'!A119</f>
        <v>Morrow</v>
      </c>
      <c r="T726" t="str">
        <f>'HAULING RATES- ODOT Locations'!B119</f>
        <v>Chesterville OP, 3988 Co Rd 172, Mount Gilead, OH 43338</v>
      </c>
      <c r="U726" t="str">
        <f>'HAULING RATES- ODOT Locations'!F$8</f>
        <v>Sand</v>
      </c>
      <c r="V726" s="146">
        <f>'HAULING RATES- ODOT Locations'!F119</f>
        <v>0</v>
      </c>
      <c r="W726" s="131" t="str">
        <f>+'Aggregate, Plant Pick-up'!$C$6</f>
        <v>LAFARGE-MARBLEHEAD "OSBORNE-CLEVELAND"</v>
      </c>
      <c r="X726" s="131" t="str">
        <f>+Plant_Information!$B$10</f>
        <v>04105-28</v>
      </c>
      <c r="Y726" s="131" t="str">
        <f>+Plant_Information!$B$11</f>
        <v>2100 CENTRAL FURNACE ROAD</v>
      </c>
      <c r="Z726" s="131" t="str">
        <f>+Plant_Information!$B$12</f>
        <v>CLEVELAND, OH, 44115</v>
      </c>
      <c r="AA726" s="131" t="str">
        <f>+Plant_Information!$B$13</f>
        <v>12</v>
      </c>
      <c r="AB726" s="131" t="str">
        <f>+Plant_Information!$B$14</f>
        <v>CUY</v>
      </c>
      <c r="AC726" s="70"/>
    </row>
    <row r="727" spans="17:29" x14ac:dyDescent="0.2">
      <c r="Q727" t="str">
        <f>Plant_Information!$B$6</f>
        <v>(INSERT VENDOR NAME HERE)</v>
      </c>
      <c r="R727" t="str">
        <f>'HAULING RATES- ODOT Locations'!$A$104</f>
        <v>District 6</v>
      </c>
      <c r="S727" t="str">
        <f>'HAULING RATES- ODOT Locations'!A120</f>
        <v>Morrow</v>
      </c>
      <c r="T727" t="str">
        <f>'HAULING RATES- ODOT Locations'!B120</f>
        <v>Morrow Co. Gar., 710 E. Union St, Mt. Gilead, OH 43338</v>
      </c>
      <c r="U727" t="str">
        <f>'HAULING RATES- ODOT Locations'!F$8</f>
        <v>Sand</v>
      </c>
      <c r="V727" s="146">
        <f>'HAULING RATES- ODOT Locations'!F120</f>
        <v>0</v>
      </c>
      <c r="W727" s="131" t="str">
        <f>+'Aggregate, Plant Pick-up'!$C$6</f>
        <v>LAFARGE-MARBLEHEAD "OSBORNE-CLEVELAND"</v>
      </c>
      <c r="X727" s="131" t="str">
        <f>+Plant_Information!$B$10</f>
        <v>04105-28</v>
      </c>
      <c r="Y727" s="131" t="str">
        <f>+Plant_Information!$B$11</f>
        <v>2100 CENTRAL FURNACE ROAD</v>
      </c>
      <c r="Z727" s="131" t="str">
        <f>+Plant_Information!$B$12</f>
        <v>CLEVELAND, OH, 44115</v>
      </c>
      <c r="AA727" s="131" t="str">
        <f>+Plant_Information!$B$13</f>
        <v>12</v>
      </c>
      <c r="AB727" s="131" t="str">
        <f>+Plant_Information!$B$14</f>
        <v>CUY</v>
      </c>
      <c r="AC727" s="70"/>
    </row>
    <row r="728" spans="17:29" x14ac:dyDescent="0.2">
      <c r="Q728" t="str">
        <f>Plant_Information!$B$6</f>
        <v>(INSERT VENDOR NAME HERE)</v>
      </c>
      <c r="R728" t="str">
        <f>'HAULING RATES- ODOT Locations'!$A$104</f>
        <v>District 6</v>
      </c>
      <c r="S728" t="str">
        <f>'HAULING RATES- ODOT Locations'!A121</f>
        <v>Pickaway</v>
      </c>
      <c r="T728" t="str">
        <f>'HAULING RATES- ODOT Locations'!B121</f>
        <v>Pickaway Co. Gar., 150 Highland Avenue, Circleville, OH 43113</v>
      </c>
      <c r="U728" t="str">
        <f>'HAULING RATES- ODOT Locations'!F$8</f>
        <v>Sand</v>
      </c>
      <c r="V728" s="146">
        <f>'HAULING RATES- ODOT Locations'!F121</f>
        <v>0</v>
      </c>
      <c r="W728" s="131" t="str">
        <f>+'Aggregate, Plant Pick-up'!$C$6</f>
        <v>LAFARGE-MARBLEHEAD "OSBORNE-CLEVELAND"</v>
      </c>
      <c r="X728" s="131" t="str">
        <f>+Plant_Information!$B$10</f>
        <v>04105-28</v>
      </c>
      <c r="Y728" s="131" t="str">
        <f>+Plant_Information!$B$11</f>
        <v>2100 CENTRAL FURNACE ROAD</v>
      </c>
      <c r="Z728" s="131" t="str">
        <f>+Plant_Information!$B$12</f>
        <v>CLEVELAND, OH, 44115</v>
      </c>
      <c r="AA728" s="131" t="str">
        <f>+Plant_Information!$B$13</f>
        <v>12</v>
      </c>
      <c r="AB728" s="131" t="str">
        <f>+Plant_Information!$B$14</f>
        <v>CUY</v>
      </c>
      <c r="AC728" s="70"/>
    </row>
    <row r="729" spans="17:29" x14ac:dyDescent="0.2">
      <c r="Q729" t="str">
        <f>Plant_Information!$B$6</f>
        <v>(INSERT VENDOR NAME HERE)</v>
      </c>
      <c r="R729" t="str">
        <f>'HAULING RATES- ODOT Locations'!$A$104</f>
        <v>District 6</v>
      </c>
      <c r="S729" t="str">
        <f>'HAULING RATES- ODOT Locations'!A122</f>
        <v>Union</v>
      </c>
      <c r="T729" t="str">
        <f>'HAULING RATES- ODOT Locations'!B122</f>
        <v>Union Co. Gar., 1717 Collins Ave Marysville, OH  43040</v>
      </c>
      <c r="U729" t="str">
        <f>'HAULING RATES- ODOT Locations'!F$8</f>
        <v>Sand</v>
      </c>
      <c r="V729" s="146">
        <f>'HAULING RATES- ODOT Locations'!F122</f>
        <v>0</v>
      </c>
      <c r="W729" s="131" t="str">
        <f>+'Aggregate, Plant Pick-up'!$C$6</f>
        <v>LAFARGE-MARBLEHEAD "OSBORNE-CLEVELAND"</v>
      </c>
      <c r="X729" s="131" t="str">
        <f>+Plant_Information!$B$10</f>
        <v>04105-28</v>
      </c>
      <c r="Y729" s="131" t="str">
        <f>+Plant_Information!$B$11</f>
        <v>2100 CENTRAL FURNACE ROAD</v>
      </c>
      <c r="Z729" s="131" t="str">
        <f>+Plant_Information!$B$12</f>
        <v>CLEVELAND, OH, 44115</v>
      </c>
      <c r="AA729" s="131" t="str">
        <f>+Plant_Information!$B$13</f>
        <v>12</v>
      </c>
      <c r="AB729" s="131" t="str">
        <f>+Plant_Information!$B$14</f>
        <v>CUY</v>
      </c>
      <c r="AC729" s="70"/>
    </row>
    <row r="730" spans="17:29" x14ac:dyDescent="0.2">
      <c r="Q730" t="str">
        <f>Plant_Information!$B$6</f>
        <v>(INSERT VENDOR NAME HERE)</v>
      </c>
      <c r="R730" t="str">
        <f>'HAULING RATES- ODOT Locations'!$A$104</f>
        <v>District 6</v>
      </c>
      <c r="S730" t="str">
        <f>'HAULING RATES- ODOT Locations'!A123</f>
        <v>Union</v>
      </c>
      <c r="T730" t="str">
        <f>'HAULING RATES- ODOT Locations'!B123</f>
        <v>Richwood OP, 11304 SR 47, Richwood, OH 43344</v>
      </c>
      <c r="U730" t="str">
        <f>'HAULING RATES- ODOT Locations'!F$8</f>
        <v>Sand</v>
      </c>
      <c r="V730" s="146">
        <f>'HAULING RATES- ODOT Locations'!F123</f>
        <v>0</v>
      </c>
      <c r="W730" s="131" t="str">
        <f>+'Aggregate, Plant Pick-up'!$C$6</f>
        <v>LAFARGE-MARBLEHEAD "OSBORNE-CLEVELAND"</v>
      </c>
      <c r="X730" s="131" t="str">
        <f>+Plant_Information!$B$10</f>
        <v>04105-28</v>
      </c>
      <c r="Y730" s="131" t="str">
        <f>+Plant_Information!$B$11</f>
        <v>2100 CENTRAL FURNACE ROAD</v>
      </c>
      <c r="Z730" s="131" t="str">
        <f>+Plant_Information!$B$12</f>
        <v>CLEVELAND, OH, 44115</v>
      </c>
      <c r="AA730" s="131" t="str">
        <f>+Plant_Information!$B$13</f>
        <v>12</v>
      </c>
      <c r="AB730" s="131" t="str">
        <f>+Plant_Information!$B$14</f>
        <v>CUY</v>
      </c>
      <c r="AC730" s="70"/>
    </row>
    <row r="731" spans="17:29" x14ac:dyDescent="0.2">
      <c r="Q731" t="str">
        <f>Plant_Information!$B$6</f>
        <v>(INSERT VENDOR NAME HERE)</v>
      </c>
      <c r="R731" t="str">
        <f>'HAULING RATES- ODOT Locations'!$A$124</f>
        <v>District 7</v>
      </c>
      <c r="S731" t="str">
        <f>'HAULING RATES- ODOT Locations'!A127</f>
        <v>Auglaize</v>
      </c>
      <c r="T731" t="str">
        <f>'HAULING RATES- ODOT Locations'!B127</f>
        <v>511 Commerce Dr., Wapakoneta, OH 45895</v>
      </c>
      <c r="U731" t="str">
        <f>'HAULING RATES- ODOT Locations'!F$8</f>
        <v>Sand</v>
      </c>
      <c r="V731" s="146">
        <f>'HAULING RATES- ODOT Locations'!F127</f>
        <v>0</v>
      </c>
      <c r="W731" s="131" t="str">
        <f>+'Aggregate, Plant Pick-up'!$C$6</f>
        <v>LAFARGE-MARBLEHEAD "OSBORNE-CLEVELAND"</v>
      </c>
      <c r="X731" s="131" t="str">
        <f>+Plant_Information!$B$10</f>
        <v>04105-28</v>
      </c>
      <c r="Y731" s="131" t="str">
        <f>+Plant_Information!$B$11</f>
        <v>2100 CENTRAL FURNACE ROAD</v>
      </c>
      <c r="Z731" s="131" t="str">
        <f>+Plant_Information!$B$12</f>
        <v>CLEVELAND, OH, 44115</v>
      </c>
      <c r="AA731" s="131" t="str">
        <f>+Plant_Information!$B$13</f>
        <v>12</v>
      </c>
      <c r="AB731" s="131" t="str">
        <f>+Plant_Information!$B$14</f>
        <v>CUY</v>
      </c>
      <c r="AC731" s="70"/>
    </row>
    <row r="732" spans="17:29" x14ac:dyDescent="0.2">
      <c r="Q732" t="str">
        <f>Plant_Information!$B$6</f>
        <v>(INSERT VENDOR NAME HERE)</v>
      </c>
      <c r="R732" t="str">
        <f>'HAULING RATES- ODOT Locations'!$A$124</f>
        <v>District 7</v>
      </c>
      <c r="S732" t="str">
        <f>'HAULING RATES- ODOT Locations'!A128</f>
        <v>Auglaize</v>
      </c>
      <c r="T732" t="str">
        <f>'HAULING RATES- ODOT Locations'!B128</f>
        <v>802 Armstrong Street, Saint Marys, OH 45885</v>
      </c>
      <c r="U732" t="str">
        <f>'HAULING RATES- ODOT Locations'!F$8</f>
        <v>Sand</v>
      </c>
      <c r="V732" s="146">
        <f>'HAULING RATES- ODOT Locations'!F128</f>
        <v>0</v>
      </c>
      <c r="W732" s="131" t="str">
        <f>+'Aggregate, Plant Pick-up'!$C$6</f>
        <v>LAFARGE-MARBLEHEAD "OSBORNE-CLEVELAND"</v>
      </c>
      <c r="X732" s="131" t="str">
        <f>+Plant_Information!$B$10</f>
        <v>04105-28</v>
      </c>
      <c r="Y732" s="131" t="str">
        <f>+Plant_Information!$B$11</f>
        <v>2100 CENTRAL FURNACE ROAD</v>
      </c>
      <c r="Z732" s="131" t="str">
        <f>+Plant_Information!$B$12</f>
        <v>CLEVELAND, OH, 44115</v>
      </c>
      <c r="AA732" s="131" t="str">
        <f>+Plant_Information!$B$13</f>
        <v>12</v>
      </c>
      <c r="AB732" s="131" t="str">
        <f>+Plant_Information!$B$14</f>
        <v>CUY</v>
      </c>
      <c r="AC732" s="70"/>
    </row>
    <row r="733" spans="17:29" x14ac:dyDescent="0.2">
      <c r="Q733" t="str">
        <f>Plant_Information!$B$6</f>
        <v>(INSERT VENDOR NAME HERE)</v>
      </c>
      <c r="R733" t="str">
        <f>'HAULING RATES- ODOT Locations'!$A$124</f>
        <v>District 7</v>
      </c>
      <c r="S733" t="str">
        <f>'HAULING RATES- ODOT Locations'!A129</f>
        <v>Champaign</v>
      </c>
      <c r="T733" t="str">
        <f>'HAULING RATES- ODOT Locations'!B129</f>
        <v>2030 N. State Route 235, St. Paris, OH 43084</v>
      </c>
      <c r="U733" t="str">
        <f>'HAULING RATES- ODOT Locations'!F$8</f>
        <v>Sand</v>
      </c>
      <c r="V733" s="146">
        <f>'HAULING RATES- ODOT Locations'!F129</f>
        <v>0</v>
      </c>
      <c r="W733" s="131" t="str">
        <f>+'Aggregate, Plant Pick-up'!$C$6</f>
        <v>LAFARGE-MARBLEHEAD "OSBORNE-CLEVELAND"</v>
      </c>
      <c r="X733" s="131" t="str">
        <f>+Plant_Information!$B$10</f>
        <v>04105-28</v>
      </c>
      <c r="Y733" s="131" t="str">
        <f>+Plant_Information!$B$11</f>
        <v>2100 CENTRAL FURNACE ROAD</v>
      </c>
      <c r="Z733" s="131" t="str">
        <f>+Plant_Information!$B$12</f>
        <v>CLEVELAND, OH, 44115</v>
      </c>
      <c r="AA733" s="131" t="str">
        <f>+Plant_Information!$B$13</f>
        <v>12</v>
      </c>
      <c r="AB733" s="131" t="str">
        <f>+Plant_Information!$B$14</f>
        <v>CUY</v>
      </c>
      <c r="AC733" s="70"/>
    </row>
    <row r="734" spans="17:29" x14ac:dyDescent="0.2">
      <c r="Q734" t="str">
        <f>Plant_Information!$B$6</f>
        <v>(INSERT VENDOR NAME HERE)</v>
      </c>
      <c r="R734" t="str">
        <f>'HAULING RATES- ODOT Locations'!$A$124</f>
        <v>District 7</v>
      </c>
      <c r="S734" t="str">
        <f>'HAULING RATES- ODOT Locations'!A130</f>
        <v>Champaign</v>
      </c>
      <c r="T734" t="str">
        <f>'HAULING RATES- ODOT Locations'!B130</f>
        <v>217 S. Edgewood Ave., Urbana, OH 43078</v>
      </c>
      <c r="U734" t="str">
        <f>'HAULING RATES- ODOT Locations'!F$8</f>
        <v>Sand</v>
      </c>
      <c r="V734" s="146">
        <f>'HAULING RATES- ODOT Locations'!F130</f>
        <v>0</v>
      </c>
      <c r="W734" s="131" t="str">
        <f>+'Aggregate, Plant Pick-up'!$C$6</f>
        <v>LAFARGE-MARBLEHEAD "OSBORNE-CLEVELAND"</v>
      </c>
      <c r="X734" s="131" t="str">
        <f>+Plant_Information!$B$10</f>
        <v>04105-28</v>
      </c>
      <c r="Y734" s="131" t="str">
        <f>+Plant_Information!$B$11</f>
        <v>2100 CENTRAL FURNACE ROAD</v>
      </c>
      <c r="Z734" s="131" t="str">
        <f>+Plant_Information!$B$12</f>
        <v>CLEVELAND, OH, 44115</v>
      </c>
      <c r="AA734" s="131" t="str">
        <f>+Plant_Information!$B$13</f>
        <v>12</v>
      </c>
      <c r="AB734" s="131" t="str">
        <f>+Plant_Information!$B$14</f>
        <v>CUY</v>
      </c>
      <c r="AC734" s="70"/>
    </row>
    <row r="735" spans="17:29" x14ac:dyDescent="0.2">
      <c r="Q735" t="str">
        <f>Plant_Information!$B$6</f>
        <v>(INSERT VENDOR NAME HERE)</v>
      </c>
      <c r="R735" t="str">
        <f>'HAULING RATES- ODOT Locations'!$A$124</f>
        <v>District 7</v>
      </c>
      <c r="S735" t="str">
        <f>'HAULING RATES- ODOT Locations'!A131</f>
        <v>Champaign</v>
      </c>
      <c r="T735" t="str">
        <f>'HAULING RATES- ODOT Locations'!B131</f>
        <v>Mechanicsburg OP,1544 State Route 559, Woodstock, OH 43084</v>
      </c>
      <c r="U735" t="str">
        <f>'HAULING RATES- ODOT Locations'!F$8</f>
        <v>Sand</v>
      </c>
      <c r="V735" s="146">
        <f>'HAULING RATES- ODOT Locations'!F131</f>
        <v>0</v>
      </c>
      <c r="W735" s="131" t="str">
        <f>+'Aggregate, Plant Pick-up'!$C$6</f>
        <v>LAFARGE-MARBLEHEAD "OSBORNE-CLEVELAND"</v>
      </c>
      <c r="X735" s="131" t="str">
        <f>+Plant_Information!$B$10</f>
        <v>04105-28</v>
      </c>
      <c r="Y735" s="131" t="str">
        <f>+Plant_Information!$B$11</f>
        <v>2100 CENTRAL FURNACE ROAD</v>
      </c>
      <c r="Z735" s="131" t="str">
        <f>+Plant_Information!$B$12</f>
        <v>CLEVELAND, OH, 44115</v>
      </c>
      <c r="AA735" s="131" t="str">
        <f>+Plant_Information!$B$13</f>
        <v>12</v>
      </c>
      <c r="AB735" s="131" t="str">
        <f>+Plant_Information!$B$14</f>
        <v>CUY</v>
      </c>
      <c r="AC735" s="70"/>
    </row>
    <row r="736" spans="17:29" x14ac:dyDescent="0.2">
      <c r="Q736" t="str">
        <f>Plant_Information!$B$6</f>
        <v>(INSERT VENDOR NAME HERE)</v>
      </c>
      <c r="R736" t="str">
        <f>'HAULING RATES- ODOT Locations'!$A$124</f>
        <v>District 7</v>
      </c>
      <c r="S736" t="str">
        <f>'HAULING RATES- ODOT Locations'!A132</f>
        <v>Clark</v>
      </c>
      <c r="T736" t="str">
        <f>'HAULING RATES- ODOT Locations'!B132</f>
        <v>2310 Enon Road, Enon, OH 45323</v>
      </c>
      <c r="U736" t="str">
        <f>'HAULING RATES- ODOT Locations'!F$8</f>
        <v>Sand</v>
      </c>
      <c r="V736" s="146">
        <f>'HAULING RATES- ODOT Locations'!F132</f>
        <v>0</v>
      </c>
      <c r="W736" s="131" t="str">
        <f>+'Aggregate, Plant Pick-up'!$C$6</f>
        <v>LAFARGE-MARBLEHEAD "OSBORNE-CLEVELAND"</v>
      </c>
      <c r="X736" s="131" t="str">
        <f>+Plant_Information!$B$10</f>
        <v>04105-28</v>
      </c>
      <c r="Y736" s="131" t="str">
        <f>+Plant_Information!$B$11</f>
        <v>2100 CENTRAL FURNACE ROAD</v>
      </c>
      <c r="Z736" s="131" t="str">
        <f>+Plant_Information!$B$12</f>
        <v>CLEVELAND, OH, 44115</v>
      </c>
      <c r="AA736" s="131" t="str">
        <f>+Plant_Information!$B$13</f>
        <v>12</v>
      </c>
      <c r="AB736" s="131" t="str">
        <f>+Plant_Information!$B$14</f>
        <v>CUY</v>
      </c>
      <c r="AC736" s="70"/>
    </row>
    <row r="737" spans="17:29" x14ac:dyDescent="0.2">
      <c r="Q737" t="str">
        <f>Plant_Information!$B$6</f>
        <v>(INSERT VENDOR NAME HERE)</v>
      </c>
      <c r="R737" t="str">
        <f>'HAULING RATES- ODOT Locations'!$A$124</f>
        <v>District 7</v>
      </c>
      <c r="S737" t="str">
        <f>'HAULING RATES- ODOT Locations'!A133</f>
        <v>Clark</v>
      </c>
      <c r="T737" t="str">
        <f>'HAULING RATES- ODOT Locations'!B133</f>
        <v>7875 E. National Rd. South Charleston, OH 45368</v>
      </c>
      <c r="U737" t="str">
        <f>'HAULING RATES- ODOT Locations'!F$8</f>
        <v>Sand</v>
      </c>
      <c r="V737" s="146">
        <f>'HAULING RATES- ODOT Locations'!F133</f>
        <v>0</v>
      </c>
      <c r="W737" s="131" t="str">
        <f>+'Aggregate, Plant Pick-up'!$C$6</f>
        <v>LAFARGE-MARBLEHEAD "OSBORNE-CLEVELAND"</v>
      </c>
      <c r="X737" s="131" t="str">
        <f>+Plant_Information!$B$10</f>
        <v>04105-28</v>
      </c>
      <c r="Y737" s="131" t="str">
        <f>+Plant_Information!$B$11</f>
        <v>2100 CENTRAL FURNACE ROAD</v>
      </c>
      <c r="Z737" s="131" t="str">
        <f>+Plant_Information!$B$12</f>
        <v>CLEVELAND, OH, 44115</v>
      </c>
      <c r="AA737" s="131" t="str">
        <f>+Plant_Information!$B$13</f>
        <v>12</v>
      </c>
      <c r="AB737" s="131" t="str">
        <f>+Plant_Information!$B$14</f>
        <v>CUY</v>
      </c>
      <c r="AC737" s="70"/>
    </row>
    <row r="738" spans="17:29" x14ac:dyDescent="0.2">
      <c r="Q738" t="str">
        <f>Plant_Information!$B$6</f>
        <v>(INSERT VENDOR NAME HERE)</v>
      </c>
      <c r="R738" t="str">
        <f>'HAULING RATES- ODOT Locations'!$A$124</f>
        <v>District 7</v>
      </c>
      <c r="S738" t="str">
        <f>'HAULING RATES- ODOT Locations'!A134</f>
        <v>Clark</v>
      </c>
      <c r="T738" t="str">
        <f>'HAULING RATES- ODOT Locations'!B134</f>
        <v>1630 W. First Street, Springfield, OH 45504</v>
      </c>
      <c r="U738" t="str">
        <f>'HAULING RATES- ODOT Locations'!F$8</f>
        <v>Sand</v>
      </c>
      <c r="V738" s="146">
        <f>'HAULING RATES- ODOT Locations'!F134</f>
        <v>0</v>
      </c>
      <c r="W738" s="131" t="str">
        <f>+'Aggregate, Plant Pick-up'!$C$6</f>
        <v>LAFARGE-MARBLEHEAD "OSBORNE-CLEVELAND"</v>
      </c>
      <c r="X738" s="131" t="str">
        <f>+Plant_Information!$B$10</f>
        <v>04105-28</v>
      </c>
      <c r="Y738" s="131" t="str">
        <f>+Plant_Information!$B$11</f>
        <v>2100 CENTRAL FURNACE ROAD</v>
      </c>
      <c r="Z738" s="131" t="str">
        <f>+Plant_Information!$B$12</f>
        <v>CLEVELAND, OH, 44115</v>
      </c>
      <c r="AA738" s="131" t="str">
        <f>+Plant_Information!$B$13</f>
        <v>12</v>
      </c>
      <c r="AB738" s="131" t="str">
        <f>+Plant_Information!$B$14</f>
        <v>CUY</v>
      </c>
      <c r="AC738" s="70"/>
    </row>
    <row r="739" spans="17:29" x14ac:dyDescent="0.2">
      <c r="Q739" t="str">
        <f>Plant_Information!$B$6</f>
        <v>(INSERT VENDOR NAME HERE)</v>
      </c>
      <c r="R739" t="str">
        <f>'HAULING RATES- ODOT Locations'!$A$124</f>
        <v>District 7</v>
      </c>
      <c r="S739" t="str">
        <f>'HAULING RATES- ODOT Locations'!A135</f>
        <v>Darke</v>
      </c>
      <c r="T739" t="str">
        <f>'HAULING RATES- ODOT Locations'!B135</f>
        <v>5230 Industrial Way, Greenville, OH 45331</v>
      </c>
      <c r="U739" t="str">
        <f>'HAULING RATES- ODOT Locations'!F$8</f>
        <v>Sand</v>
      </c>
      <c r="V739" s="146">
        <f>'HAULING RATES- ODOT Locations'!F135</f>
        <v>0</v>
      </c>
      <c r="W739" s="131" t="str">
        <f>+'Aggregate, Plant Pick-up'!$C$6</f>
        <v>LAFARGE-MARBLEHEAD "OSBORNE-CLEVELAND"</v>
      </c>
      <c r="X739" s="131" t="str">
        <f>+Plant_Information!$B$10</f>
        <v>04105-28</v>
      </c>
      <c r="Y739" s="131" t="str">
        <f>+Plant_Information!$B$11</f>
        <v>2100 CENTRAL FURNACE ROAD</v>
      </c>
      <c r="Z739" s="131" t="str">
        <f>+Plant_Information!$B$12</f>
        <v>CLEVELAND, OH, 44115</v>
      </c>
      <c r="AA739" s="131" t="str">
        <f>+Plant_Information!$B$13</f>
        <v>12</v>
      </c>
      <c r="AB739" s="131" t="str">
        <f>+Plant_Information!$B$14</f>
        <v>CUY</v>
      </c>
      <c r="AC739" s="70"/>
    </row>
    <row r="740" spans="17:29" x14ac:dyDescent="0.2">
      <c r="Q740" t="str">
        <f>Plant_Information!$B$6</f>
        <v>(INSERT VENDOR NAME HERE)</v>
      </c>
      <c r="R740" t="str">
        <f>'HAULING RATES- ODOT Locations'!$A$124</f>
        <v>District 7</v>
      </c>
      <c r="S740" t="str">
        <f>'HAULING RATES- ODOT Locations'!A136</f>
        <v>Darke</v>
      </c>
      <c r="T740" t="str">
        <f>'HAULING RATES- ODOT Locations'!B136</f>
        <v>10382 Greenville - St Marys, Versailles, OH 45380</v>
      </c>
      <c r="U740" t="str">
        <f>'HAULING RATES- ODOT Locations'!F$8</f>
        <v>Sand</v>
      </c>
      <c r="V740" s="146">
        <f>'HAULING RATES- ODOT Locations'!F136</f>
        <v>0</v>
      </c>
      <c r="W740" s="131" t="str">
        <f>+'Aggregate, Plant Pick-up'!$C$6</f>
        <v>LAFARGE-MARBLEHEAD "OSBORNE-CLEVELAND"</v>
      </c>
      <c r="X740" s="131" t="str">
        <f>+Plant_Information!$B$10</f>
        <v>04105-28</v>
      </c>
      <c r="Y740" s="131" t="str">
        <f>+Plant_Information!$B$11</f>
        <v>2100 CENTRAL FURNACE ROAD</v>
      </c>
      <c r="Z740" s="131" t="str">
        <f>+Plant_Information!$B$12</f>
        <v>CLEVELAND, OH, 44115</v>
      </c>
      <c r="AA740" s="131" t="str">
        <f>+Plant_Information!$B$13</f>
        <v>12</v>
      </c>
      <c r="AB740" s="131" t="str">
        <f>+Plant_Information!$B$14</f>
        <v>CUY</v>
      </c>
      <c r="AC740" s="70"/>
    </row>
    <row r="741" spans="17:29" x14ac:dyDescent="0.2">
      <c r="Q741" t="str">
        <f>Plant_Information!$B$6</f>
        <v>(INSERT VENDOR NAME HERE)</v>
      </c>
      <c r="R741" t="str">
        <f>'HAULING RATES- ODOT Locations'!$A$124</f>
        <v>District 7</v>
      </c>
      <c r="S741" t="str">
        <f>'HAULING RATES- ODOT Locations'!A137</f>
        <v>Logan</v>
      </c>
      <c r="T741" t="str">
        <f>'HAULING RATES- ODOT Locations'!B137</f>
        <v>9254 State Route 235 North, Lakeview, OH 43331</v>
      </c>
      <c r="U741" t="str">
        <f>'HAULING RATES- ODOT Locations'!F$8</f>
        <v>Sand</v>
      </c>
      <c r="V741" s="146">
        <f>'HAULING RATES- ODOT Locations'!F137</f>
        <v>0</v>
      </c>
      <c r="W741" s="131" t="str">
        <f>+'Aggregate, Plant Pick-up'!$C$6</f>
        <v>LAFARGE-MARBLEHEAD "OSBORNE-CLEVELAND"</v>
      </c>
      <c r="X741" s="131" t="str">
        <f>+Plant_Information!$B$10</f>
        <v>04105-28</v>
      </c>
      <c r="Y741" s="131" t="str">
        <f>+Plant_Information!$B$11</f>
        <v>2100 CENTRAL FURNACE ROAD</v>
      </c>
      <c r="Z741" s="131" t="str">
        <f>+Plant_Information!$B$12</f>
        <v>CLEVELAND, OH, 44115</v>
      </c>
      <c r="AA741" s="131" t="str">
        <f>+Plant_Information!$B$13</f>
        <v>12</v>
      </c>
      <c r="AB741" s="131" t="str">
        <f>+Plant_Information!$B$14</f>
        <v>CUY</v>
      </c>
      <c r="AC741" s="70"/>
    </row>
    <row r="742" spans="17:29" x14ac:dyDescent="0.2">
      <c r="Q742" t="str">
        <f>Plant_Information!$B$6</f>
        <v>(INSERT VENDOR NAME HERE)</v>
      </c>
      <c r="R742" t="str">
        <f>'HAULING RATES- ODOT Locations'!$A$124</f>
        <v>District 7</v>
      </c>
      <c r="S742" t="str">
        <f>'HAULING RATES- ODOT Locations'!A138</f>
        <v>Logan</v>
      </c>
      <c r="T742" t="str">
        <f>'HAULING RATES- ODOT Locations'!B138</f>
        <v>E. Liberty OP, 4315 State Route 292, Zanesfield, OH 43319</v>
      </c>
      <c r="U742" t="str">
        <f>'HAULING RATES- ODOT Locations'!F$8</f>
        <v>Sand</v>
      </c>
      <c r="V742" s="146">
        <f>'HAULING RATES- ODOT Locations'!F138</f>
        <v>0</v>
      </c>
      <c r="W742" s="131" t="str">
        <f>+'Aggregate, Plant Pick-up'!$C$6</f>
        <v>LAFARGE-MARBLEHEAD "OSBORNE-CLEVELAND"</v>
      </c>
      <c r="X742" s="131" t="str">
        <f>+Plant_Information!$B$10</f>
        <v>04105-28</v>
      </c>
      <c r="Y742" s="131" t="str">
        <f>+Plant_Information!$B$11</f>
        <v>2100 CENTRAL FURNACE ROAD</v>
      </c>
      <c r="Z742" s="131" t="str">
        <f>+Plant_Information!$B$12</f>
        <v>CLEVELAND, OH, 44115</v>
      </c>
      <c r="AA742" s="131" t="str">
        <f>+Plant_Information!$B$13</f>
        <v>12</v>
      </c>
      <c r="AB742" s="131" t="str">
        <f>+Plant_Information!$B$14</f>
        <v>CUY</v>
      </c>
      <c r="AC742" s="70"/>
    </row>
    <row r="743" spans="17:29" x14ac:dyDescent="0.2">
      <c r="Q743" t="str">
        <f>Plant_Information!$B$6</f>
        <v>(INSERT VENDOR NAME HERE)</v>
      </c>
      <c r="R743" t="str">
        <f>'HAULING RATES- ODOT Locations'!$A$124</f>
        <v>District 7</v>
      </c>
      <c r="S743" t="str">
        <f>'HAULING RATES- ODOT Locations'!A139</f>
        <v>Logan</v>
      </c>
      <c r="T743" t="str">
        <f>'HAULING RATES- ODOT Locations'!B139</f>
        <v>149 Northview Drive, Bellefontaine, OH 43311</v>
      </c>
      <c r="U743" t="str">
        <f>'HAULING RATES- ODOT Locations'!F$8</f>
        <v>Sand</v>
      </c>
      <c r="V743" s="146">
        <f>'HAULING RATES- ODOT Locations'!F139</f>
        <v>0</v>
      </c>
      <c r="W743" s="131" t="str">
        <f>+'Aggregate, Plant Pick-up'!$C$6</f>
        <v>LAFARGE-MARBLEHEAD "OSBORNE-CLEVELAND"</v>
      </c>
      <c r="X743" s="131" t="str">
        <f>+Plant_Information!$B$10</f>
        <v>04105-28</v>
      </c>
      <c r="Y743" s="131" t="str">
        <f>+Plant_Information!$B$11</f>
        <v>2100 CENTRAL FURNACE ROAD</v>
      </c>
      <c r="Z743" s="131" t="str">
        <f>+Plant_Information!$B$12</f>
        <v>CLEVELAND, OH, 44115</v>
      </c>
      <c r="AA743" s="131" t="str">
        <f>+Plant_Information!$B$13</f>
        <v>12</v>
      </c>
      <c r="AB743" s="131" t="str">
        <f>+Plant_Information!$B$14</f>
        <v>CUY</v>
      </c>
      <c r="AC743" s="70"/>
    </row>
    <row r="744" spans="17:29" x14ac:dyDescent="0.2">
      <c r="Q744" t="str">
        <f>Plant_Information!$B$6</f>
        <v>(INSERT VENDOR NAME HERE)</v>
      </c>
      <c r="R744" t="str">
        <f>'HAULING RATES- ODOT Locations'!$A$124</f>
        <v>District 7</v>
      </c>
      <c r="S744" t="str">
        <f>'HAULING RATES- ODOT Locations'!A140</f>
        <v>Mercer</v>
      </c>
      <c r="T744" t="str">
        <f>'HAULING RATES- ODOT Locations'!B140</f>
        <v>4444 State Route 29 West, Celina, OH 45822</v>
      </c>
      <c r="U744" t="str">
        <f>'HAULING RATES- ODOT Locations'!F$8</f>
        <v>Sand</v>
      </c>
      <c r="V744" s="146">
        <f>'HAULING RATES- ODOT Locations'!F140</f>
        <v>0</v>
      </c>
      <c r="W744" s="131" t="str">
        <f>+'Aggregate, Plant Pick-up'!$C$6</f>
        <v>LAFARGE-MARBLEHEAD "OSBORNE-CLEVELAND"</v>
      </c>
      <c r="X744" s="131" t="str">
        <f>+Plant_Information!$B$10</f>
        <v>04105-28</v>
      </c>
      <c r="Y744" s="131" t="str">
        <f>+Plant_Information!$B$11</f>
        <v>2100 CENTRAL FURNACE ROAD</v>
      </c>
      <c r="Z744" s="131" t="str">
        <f>+Plant_Information!$B$12</f>
        <v>CLEVELAND, OH, 44115</v>
      </c>
      <c r="AA744" s="131" t="str">
        <f>+Plant_Information!$B$13</f>
        <v>12</v>
      </c>
      <c r="AB744" s="131" t="str">
        <f>+Plant_Information!$B$14</f>
        <v>CUY</v>
      </c>
      <c r="AC744" s="70"/>
    </row>
    <row r="745" spans="17:29" x14ac:dyDescent="0.2">
      <c r="Q745" t="str">
        <f>Plant_Information!$B$6</f>
        <v>(INSERT VENDOR NAME HERE)</v>
      </c>
      <c r="R745" t="str">
        <f>'HAULING RATES- ODOT Locations'!$A$124</f>
        <v>District 7</v>
      </c>
      <c r="S745" t="str">
        <f>'HAULING RATES- ODOT Locations'!A141</f>
        <v>Mercer</v>
      </c>
      <c r="T745" t="str">
        <f>'HAULING RATES- ODOT Locations'!B141</f>
        <v>Mercer OP, 5729 Mercer Road, Mendon, OH 45862</v>
      </c>
      <c r="U745" t="str">
        <f>'HAULING RATES- ODOT Locations'!F$8</f>
        <v>Sand</v>
      </c>
      <c r="V745" s="146">
        <f>'HAULING RATES- ODOT Locations'!F141</f>
        <v>0</v>
      </c>
      <c r="W745" s="131" t="str">
        <f>+'Aggregate, Plant Pick-up'!$C$6</f>
        <v>LAFARGE-MARBLEHEAD "OSBORNE-CLEVELAND"</v>
      </c>
      <c r="X745" s="131" t="str">
        <f>+Plant_Information!$B$10</f>
        <v>04105-28</v>
      </c>
      <c r="Y745" s="131" t="str">
        <f>+Plant_Information!$B$11</f>
        <v>2100 CENTRAL FURNACE ROAD</v>
      </c>
      <c r="Z745" s="131" t="str">
        <f>+Plant_Information!$B$12</f>
        <v>CLEVELAND, OH, 44115</v>
      </c>
      <c r="AA745" s="131" t="str">
        <f>+Plant_Information!$B$13</f>
        <v>12</v>
      </c>
      <c r="AB745" s="131" t="str">
        <f>+Plant_Information!$B$14</f>
        <v>CUY</v>
      </c>
      <c r="AC745" s="70"/>
    </row>
    <row r="746" spans="17:29" x14ac:dyDescent="0.2">
      <c r="Q746" t="str">
        <f>Plant_Information!$B$6</f>
        <v>(INSERT VENDOR NAME HERE)</v>
      </c>
      <c r="R746" t="str">
        <f>'HAULING RATES- ODOT Locations'!$A$124</f>
        <v>District 7</v>
      </c>
      <c r="S746" t="str">
        <f>'HAULING RATES- ODOT Locations'!A142</f>
        <v>Mercer</v>
      </c>
      <c r="T746" t="str">
        <f>'HAULING RATES- ODOT Locations'!B142</f>
        <v>Cassella OP, 5882 State Route 119, St. Henry, OH 45883</v>
      </c>
      <c r="U746" t="str">
        <f>'HAULING RATES- ODOT Locations'!F$8</f>
        <v>Sand</v>
      </c>
      <c r="V746" s="146">
        <f>'HAULING RATES- ODOT Locations'!F142</f>
        <v>0</v>
      </c>
      <c r="W746" s="131" t="str">
        <f>+'Aggregate, Plant Pick-up'!$C$6</f>
        <v>LAFARGE-MARBLEHEAD "OSBORNE-CLEVELAND"</v>
      </c>
      <c r="X746" s="131" t="str">
        <f>+Plant_Information!$B$10</f>
        <v>04105-28</v>
      </c>
      <c r="Y746" s="131" t="str">
        <f>+Plant_Information!$B$11</f>
        <v>2100 CENTRAL FURNACE ROAD</v>
      </c>
      <c r="Z746" s="131" t="str">
        <f>+Plant_Information!$B$12</f>
        <v>CLEVELAND, OH, 44115</v>
      </c>
      <c r="AA746" s="131" t="str">
        <f>+Plant_Information!$B$13</f>
        <v>12</v>
      </c>
      <c r="AB746" s="131" t="str">
        <f>+Plant_Information!$B$14</f>
        <v>CUY</v>
      </c>
      <c r="AC746" s="70"/>
    </row>
    <row r="747" spans="17:29" x14ac:dyDescent="0.2">
      <c r="Q747" t="str">
        <f>Plant_Information!$B$6</f>
        <v>(INSERT VENDOR NAME HERE)</v>
      </c>
      <c r="R747" t="str">
        <f>'HAULING RATES- ODOT Locations'!$A$124</f>
        <v>District 7</v>
      </c>
      <c r="S747" t="str">
        <f>'HAULING RATES- ODOT Locations'!A143</f>
        <v>Miami</v>
      </c>
      <c r="T747" t="str">
        <f>'HAULING RATES- ODOT Locations'!B143</f>
        <v>2423 W. State Route 55, Troy, OH 45373</v>
      </c>
      <c r="U747" t="str">
        <f>'HAULING RATES- ODOT Locations'!F$8</f>
        <v>Sand</v>
      </c>
      <c r="V747" s="146">
        <f>'HAULING RATES- ODOT Locations'!F143</f>
        <v>0</v>
      </c>
      <c r="W747" s="131" t="str">
        <f>+'Aggregate, Plant Pick-up'!$C$6</f>
        <v>LAFARGE-MARBLEHEAD "OSBORNE-CLEVELAND"</v>
      </c>
      <c r="X747" s="131" t="str">
        <f>+Plant_Information!$B$10</f>
        <v>04105-28</v>
      </c>
      <c r="Y747" s="131" t="str">
        <f>+Plant_Information!$B$11</f>
        <v>2100 CENTRAL FURNACE ROAD</v>
      </c>
      <c r="Z747" s="131" t="str">
        <f>+Plant_Information!$B$12</f>
        <v>CLEVELAND, OH, 44115</v>
      </c>
      <c r="AA747" s="131" t="str">
        <f>+Plant_Information!$B$13</f>
        <v>12</v>
      </c>
      <c r="AB747" s="131" t="str">
        <f>+Plant_Information!$B$14</f>
        <v>CUY</v>
      </c>
      <c r="AC747" s="70"/>
    </row>
    <row r="748" spans="17:29" x14ac:dyDescent="0.2">
      <c r="Q748" t="str">
        <f>Plant_Information!$B$6</f>
        <v>(INSERT VENDOR NAME HERE)</v>
      </c>
      <c r="R748" t="str">
        <f>'HAULING RATES- ODOT Locations'!$A$124</f>
        <v>District 7</v>
      </c>
      <c r="S748" t="str">
        <f>'HAULING RATES- ODOT Locations'!A144</f>
        <v>Miami</v>
      </c>
      <c r="T748" t="str">
        <f>'HAULING RATES- ODOT Locations'!B144</f>
        <v>9015 Looney Road, Piqua, OH 45356</v>
      </c>
      <c r="U748" t="str">
        <f>'HAULING RATES- ODOT Locations'!F$8</f>
        <v>Sand</v>
      </c>
      <c r="V748" s="146">
        <f>'HAULING RATES- ODOT Locations'!F144</f>
        <v>0</v>
      </c>
      <c r="W748" s="131" t="str">
        <f>+'Aggregate, Plant Pick-up'!$C$6</f>
        <v>LAFARGE-MARBLEHEAD "OSBORNE-CLEVELAND"</v>
      </c>
      <c r="X748" s="131" t="str">
        <f>+Plant_Information!$B$10</f>
        <v>04105-28</v>
      </c>
      <c r="Y748" s="131" t="str">
        <f>+Plant_Information!$B$11</f>
        <v>2100 CENTRAL FURNACE ROAD</v>
      </c>
      <c r="Z748" s="131" t="str">
        <f>+Plant_Information!$B$12</f>
        <v>CLEVELAND, OH, 44115</v>
      </c>
      <c r="AA748" s="131" t="str">
        <f>+Plant_Information!$B$13</f>
        <v>12</v>
      </c>
      <c r="AB748" s="131" t="str">
        <f>+Plant_Information!$B$14</f>
        <v>CUY</v>
      </c>
      <c r="AC748" s="70"/>
    </row>
    <row r="749" spans="17:29" x14ac:dyDescent="0.2">
      <c r="Q749" t="str">
        <f>Plant_Information!$B$6</f>
        <v>(INSERT VENDOR NAME HERE)</v>
      </c>
      <c r="R749" t="str">
        <f>'HAULING RATES- ODOT Locations'!$A$124</f>
        <v>District 7</v>
      </c>
      <c r="S749" t="str">
        <f>'HAULING RATES- ODOT Locations'!A145</f>
        <v>Montgomery</v>
      </c>
      <c r="T749" t="str">
        <f>'HAULING RATES- ODOT Locations'!B145</f>
        <v>300 Smith Drive, Clayton, OH 45315</v>
      </c>
      <c r="U749" t="str">
        <f>'HAULING RATES- ODOT Locations'!F$8</f>
        <v>Sand</v>
      </c>
      <c r="V749" s="146">
        <f>'HAULING RATES- ODOT Locations'!F145</f>
        <v>0</v>
      </c>
      <c r="W749" s="131" t="str">
        <f>+'Aggregate, Plant Pick-up'!$C$6</f>
        <v>LAFARGE-MARBLEHEAD "OSBORNE-CLEVELAND"</v>
      </c>
      <c r="X749" s="131" t="str">
        <f>+Plant_Information!$B$10</f>
        <v>04105-28</v>
      </c>
      <c r="Y749" s="131" t="str">
        <f>+Plant_Information!$B$11</f>
        <v>2100 CENTRAL FURNACE ROAD</v>
      </c>
      <c r="Z749" s="131" t="str">
        <f>+Plant_Information!$B$12</f>
        <v>CLEVELAND, OH, 44115</v>
      </c>
      <c r="AA749" s="131" t="str">
        <f>+Plant_Information!$B$13</f>
        <v>12</v>
      </c>
      <c r="AB749" s="131" t="str">
        <f>+Plant_Information!$B$14</f>
        <v>CUY</v>
      </c>
      <c r="AC749" s="70"/>
    </row>
    <row r="750" spans="17:29" x14ac:dyDescent="0.2">
      <c r="Q750" t="str">
        <f>Plant_Information!$B$6</f>
        <v>(INSERT VENDOR NAME HERE)</v>
      </c>
      <c r="R750" t="str">
        <f>'HAULING RATES- ODOT Locations'!$A$124</f>
        <v>District 7</v>
      </c>
      <c r="S750" t="str">
        <f>'HAULING RATES- ODOT Locations'!A146</f>
        <v>Montgomery</v>
      </c>
      <c r="T750" t="str">
        <f>'HAULING RATES- ODOT Locations'!B146</f>
        <v>3500 Dryden Road, Moraine, OH 45439</v>
      </c>
      <c r="U750" t="str">
        <f>'HAULING RATES- ODOT Locations'!F$8</f>
        <v>Sand</v>
      </c>
      <c r="V750" s="146">
        <f>'HAULING RATES- ODOT Locations'!F146</f>
        <v>0</v>
      </c>
      <c r="W750" s="131" t="str">
        <f>+'Aggregate, Plant Pick-up'!$C$6</f>
        <v>LAFARGE-MARBLEHEAD "OSBORNE-CLEVELAND"</v>
      </c>
      <c r="X750" s="131" t="str">
        <f>+Plant_Information!$B$10</f>
        <v>04105-28</v>
      </c>
      <c r="Y750" s="131" t="str">
        <f>+Plant_Information!$B$11</f>
        <v>2100 CENTRAL FURNACE ROAD</v>
      </c>
      <c r="Z750" s="131" t="str">
        <f>+Plant_Information!$B$12</f>
        <v>CLEVELAND, OH, 44115</v>
      </c>
      <c r="AA750" s="131" t="str">
        <f>+Plant_Information!$B$13</f>
        <v>12</v>
      </c>
      <c r="AB750" s="131" t="str">
        <f>+Plant_Information!$B$14</f>
        <v>CUY</v>
      </c>
      <c r="AC750" s="70"/>
    </row>
    <row r="751" spans="17:29" x14ac:dyDescent="0.2">
      <c r="Q751" t="str">
        <f>Plant_Information!$B$6</f>
        <v>(INSERT VENDOR NAME HERE)</v>
      </c>
      <c r="R751" t="str">
        <f>'HAULING RATES- ODOT Locations'!$A$124</f>
        <v>District 7</v>
      </c>
      <c r="S751" t="str">
        <f>'HAULING RATES- ODOT Locations'!A147</f>
        <v>Montgomery</v>
      </c>
      <c r="T751" t="str">
        <f>'HAULING RATES- ODOT Locations'!B147</f>
        <v>7130 Shull Road, Huber Heights, OH 45424</v>
      </c>
      <c r="U751" t="str">
        <f>'HAULING RATES- ODOT Locations'!F$8</f>
        <v>Sand</v>
      </c>
      <c r="V751" s="146">
        <f>'HAULING RATES- ODOT Locations'!F147</f>
        <v>0</v>
      </c>
      <c r="W751" s="131" t="str">
        <f>+'Aggregate, Plant Pick-up'!$C$6</f>
        <v>LAFARGE-MARBLEHEAD "OSBORNE-CLEVELAND"</v>
      </c>
      <c r="X751" s="131" t="str">
        <f>+Plant_Information!$B$10</f>
        <v>04105-28</v>
      </c>
      <c r="Y751" s="131" t="str">
        <f>+Plant_Information!$B$11</f>
        <v>2100 CENTRAL FURNACE ROAD</v>
      </c>
      <c r="Z751" s="131" t="str">
        <f>+Plant_Information!$B$12</f>
        <v>CLEVELAND, OH, 44115</v>
      </c>
      <c r="AA751" s="131" t="str">
        <f>+Plant_Information!$B$13</f>
        <v>12</v>
      </c>
      <c r="AB751" s="131" t="str">
        <f>+Plant_Information!$B$14</f>
        <v>CUY</v>
      </c>
      <c r="AC751" s="70"/>
    </row>
    <row r="752" spans="17:29" x14ac:dyDescent="0.2">
      <c r="Q752" t="str">
        <f>Plant_Information!$B$6</f>
        <v>(INSERT VENDOR NAME HERE)</v>
      </c>
      <c r="R752" t="str">
        <f>'HAULING RATES- ODOT Locations'!$A$124</f>
        <v>District 7</v>
      </c>
      <c r="S752" t="str">
        <f>'HAULING RATES- ODOT Locations'!A148</f>
        <v>Shelby</v>
      </c>
      <c r="T752" t="str">
        <f>'HAULING RATES- ODOT Locations'!B148</f>
        <v>2190 Saint Marys Avenue, Sidney, OH 45365</v>
      </c>
      <c r="U752" t="str">
        <f>'HAULING RATES- ODOT Locations'!F$8</f>
        <v>Sand</v>
      </c>
      <c r="V752" s="146">
        <f>'HAULING RATES- ODOT Locations'!F148</f>
        <v>0</v>
      </c>
      <c r="W752" s="131" t="str">
        <f>+'Aggregate, Plant Pick-up'!$C$6</f>
        <v>LAFARGE-MARBLEHEAD "OSBORNE-CLEVELAND"</v>
      </c>
      <c r="X752" s="131" t="str">
        <f>+Plant_Information!$B$10</f>
        <v>04105-28</v>
      </c>
      <c r="Y752" s="131" t="str">
        <f>+Plant_Information!$B$11</f>
        <v>2100 CENTRAL FURNACE ROAD</v>
      </c>
      <c r="Z752" s="131" t="str">
        <f>+Plant_Information!$B$12</f>
        <v>CLEVELAND, OH, 44115</v>
      </c>
      <c r="AA752" s="131" t="str">
        <f>+Plant_Information!$B$13</f>
        <v>12</v>
      </c>
      <c r="AB752" s="131" t="str">
        <f>+Plant_Information!$B$14</f>
        <v>CUY</v>
      </c>
      <c r="AC752" s="70"/>
    </row>
    <row r="753" spans="17:29" x14ac:dyDescent="0.2">
      <c r="Q753" s="138" t="str">
        <f>Plant_Information!$B$6</f>
        <v>(INSERT VENDOR NAME HERE)</v>
      </c>
      <c r="R753" s="138" t="str">
        <f>'HAULING RATES- ODOT Locations'!$A$124</f>
        <v>District 7</v>
      </c>
      <c r="S753" s="138" t="str">
        <f>'HAULING RATES- ODOT Locations'!A149</f>
        <v>Shelby</v>
      </c>
      <c r="T753" s="138" t="str">
        <f>'HAULING RATES- ODOT Locations'!B149</f>
        <v>15825 County Road 25A, Botkins, OH 45306</v>
      </c>
      <c r="U753" s="138" t="str">
        <f>'HAULING RATES- ODOT Locations'!F$8</f>
        <v>Sand</v>
      </c>
      <c r="V753" s="146">
        <f>'HAULING RATES- ODOT Locations'!F149</f>
        <v>0</v>
      </c>
      <c r="W753" s="141" t="str">
        <f>+'Aggregate, Plant Pick-up'!$C$6</f>
        <v>LAFARGE-MARBLEHEAD "OSBORNE-CLEVELAND"</v>
      </c>
      <c r="X753" s="141" t="str">
        <f>+Plant_Information!$B$10</f>
        <v>04105-28</v>
      </c>
      <c r="Y753" s="141" t="str">
        <f>+Plant_Information!$B$11</f>
        <v>2100 CENTRAL FURNACE ROAD</v>
      </c>
      <c r="Z753" s="141" t="str">
        <f>+Plant_Information!$B$12</f>
        <v>CLEVELAND, OH, 44115</v>
      </c>
      <c r="AA753" s="141" t="str">
        <f>+Plant_Information!$B$13</f>
        <v>12</v>
      </c>
      <c r="AB753" s="141" t="str">
        <f>+Plant_Information!$B$14</f>
        <v>CUY</v>
      </c>
      <c r="AC753" s="70"/>
    </row>
    <row r="754" spans="17:29" x14ac:dyDescent="0.2">
      <c r="Q754" t="str">
        <f>Plant_Information!$B$6</f>
        <v>(INSERT VENDOR NAME HERE)</v>
      </c>
      <c r="R754" t="str">
        <f>'HAULING RATES- ODOT Locations'!$A$124</f>
        <v>District 7</v>
      </c>
      <c r="S754" t="str">
        <f>'HAULING RATES- ODOT Locations'!A150</f>
        <v>Shelby</v>
      </c>
      <c r="T754" t="str">
        <f>'HAULING RATES- ODOT Locations'!B150</f>
        <v>Newport OP, 4339 W. State Route 47, Ft. Loramie, OH 45845</v>
      </c>
      <c r="U754" t="str">
        <f>'HAULING RATES- ODOT Locations'!F$8</f>
        <v>Sand</v>
      </c>
      <c r="V754" s="146">
        <f>'HAULING RATES- ODOT Locations'!F150</f>
        <v>0</v>
      </c>
      <c r="W754" s="131" t="str">
        <f>+'Aggregate, Plant Pick-up'!$C$6</f>
        <v>LAFARGE-MARBLEHEAD "OSBORNE-CLEVELAND"</v>
      </c>
      <c r="X754" s="131" t="str">
        <f>+Plant_Information!$B$10</f>
        <v>04105-28</v>
      </c>
      <c r="Y754" s="131" t="str">
        <f>+Plant_Information!$B$11</f>
        <v>2100 CENTRAL FURNACE ROAD</v>
      </c>
      <c r="Z754" s="131" t="str">
        <f>+Plant_Information!$B$12</f>
        <v>CLEVELAND, OH, 44115</v>
      </c>
      <c r="AA754" s="131" t="str">
        <f>+Plant_Information!$B$13</f>
        <v>12</v>
      </c>
      <c r="AB754" s="131" t="str">
        <f>+Plant_Information!$B$14</f>
        <v>CUY</v>
      </c>
      <c r="AC754" s="70"/>
    </row>
    <row r="755" spans="17:29" x14ac:dyDescent="0.2">
      <c r="Q755" t="str">
        <f>Plant_Information!$B$6</f>
        <v>(INSERT VENDOR NAME HERE)</v>
      </c>
      <c r="R755" t="str">
        <f>'HAULING RATES- ODOT Locations'!$A$151</f>
        <v>District 8</v>
      </c>
      <c r="S755" t="str">
        <f>'HAULING RATES- ODOT Locations'!A154</f>
        <v>Butler</v>
      </c>
      <c r="T755" t="str">
        <f>'HAULING RATES- ODOT Locations'!B154</f>
        <v>4560 Kyles Station, Hamilton, OH 45011</v>
      </c>
      <c r="U755" t="str">
        <f>'HAULING RATES- ODOT Locations'!F$8</f>
        <v>Sand</v>
      </c>
      <c r="V755" s="146">
        <f>'HAULING RATES- ODOT Locations'!F154</f>
        <v>0</v>
      </c>
      <c r="W755" s="131" t="str">
        <f>+'Aggregate, Plant Pick-up'!$C$6</f>
        <v>LAFARGE-MARBLEHEAD "OSBORNE-CLEVELAND"</v>
      </c>
      <c r="X755" s="131" t="str">
        <f>+Plant_Information!$B$10</f>
        <v>04105-28</v>
      </c>
      <c r="Y755" s="131" t="str">
        <f>+Plant_Information!$B$11</f>
        <v>2100 CENTRAL FURNACE ROAD</v>
      </c>
      <c r="Z755" s="131" t="str">
        <f>+Plant_Information!$B$12</f>
        <v>CLEVELAND, OH, 44115</v>
      </c>
      <c r="AA755" s="131" t="str">
        <f>+Plant_Information!$B$13</f>
        <v>12</v>
      </c>
      <c r="AB755" s="131" t="str">
        <f>+Plant_Information!$B$14</f>
        <v>CUY</v>
      </c>
      <c r="AC755" s="70"/>
    </row>
    <row r="756" spans="17:29" x14ac:dyDescent="0.2">
      <c r="Q756" t="str">
        <f>Plant_Information!$B$6</f>
        <v>(INSERT VENDOR NAME HERE)</v>
      </c>
      <c r="R756" t="str">
        <f>'HAULING RATES- ODOT Locations'!$A$151</f>
        <v>District 8</v>
      </c>
      <c r="S756" t="str">
        <f>'HAULING RATES- ODOT Locations'!A155</f>
        <v>Butler</v>
      </c>
      <c r="T756" t="str">
        <f>'HAULING RATES- ODOT Locations'!B155</f>
        <v>4011 Tytus Ave., Middletown, OH 45042</v>
      </c>
      <c r="U756" t="str">
        <f>'HAULING RATES- ODOT Locations'!F$8</f>
        <v>Sand</v>
      </c>
      <c r="V756" s="146">
        <f>'HAULING RATES- ODOT Locations'!F155</f>
        <v>0</v>
      </c>
      <c r="W756" s="131" t="str">
        <f>+'Aggregate, Plant Pick-up'!$C$6</f>
        <v>LAFARGE-MARBLEHEAD "OSBORNE-CLEVELAND"</v>
      </c>
      <c r="X756" s="131" t="str">
        <f>+Plant_Information!$B$10</f>
        <v>04105-28</v>
      </c>
      <c r="Y756" s="131" t="str">
        <f>+Plant_Information!$B$11</f>
        <v>2100 CENTRAL FURNACE ROAD</v>
      </c>
      <c r="Z756" s="131" t="str">
        <f>+Plant_Information!$B$12</f>
        <v>CLEVELAND, OH, 44115</v>
      </c>
      <c r="AA756" s="131" t="str">
        <f>+Plant_Information!$B$13</f>
        <v>12</v>
      </c>
      <c r="AB756" s="131" t="str">
        <f>+Plant_Information!$B$14</f>
        <v>CUY</v>
      </c>
      <c r="AC756" s="70"/>
    </row>
    <row r="757" spans="17:29" x14ac:dyDescent="0.2">
      <c r="Q757" t="str">
        <f>Plant_Information!$B$6</f>
        <v>(INSERT VENDOR NAME HERE)</v>
      </c>
      <c r="R757" t="str">
        <f>'HAULING RATES- ODOT Locations'!$A$151</f>
        <v>District 8</v>
      </c>
      <c r="S757" t="str">
        <f>'HAULING RATES- ODOT Locations'!A156</f>
        <v>Clermont</v>
      </c>
      <c r="T757" t="str">
        <f>'HAULING RATES- ODOT Locations'!B156</f>
        <v>Batavia Garage, 3600 SR 132, Amelia, OH 45102</v>
      </c>
      <c r="U757" t="str">
        <f>'HAULING RATES- ODOT Locations'!F$8</f>
        <v>Sand</v>
      </c>
      <c r="V757" s="146">
        <f>'HAULING RATES- ODOT Locations'!F156</f>
        <v>0</v>
      </c>
      <c r="W757" s="131" t="str">
        <f>+'Aggregate, Plant Pick-up'!$C$6</f>
        <v>LAFARGE-MARBLEHEAD "OSBORNE-CLEVELAND"</v>
      </c>
      <c r="X757" s="131" t="str">
        <f>+Plant_Information!$B$10</f>
        <v>04105-28</v>
      </c>
      <c r="Y757" s="131" t="str">
        <f>+Plant_Information!$B$11</f>
        <v>2100 CENTRAL FURNACE ROAD</v>
      </c>
      <c r="Z757" s="131" t="str">
        <f>+Plant_Information!$B$12</f>
        <v>CLEVELAND, OH, 44115</v>
      </c>
      <c r="AA757" s="131" t="str">
        <f>+Plant_Information!$B$13</f>
        <v>12</v>
      </c>
      <c r="AB757" s="131" t="str">
        <f>+Plant_Information!$B$14</f>
        <v>CUY</v>
      </c>
      <c r="AC757" s="70"/>
    </row>
    <row r="758" spans="17:29" x14ac:dyDescent="0.2">
      <c r="Q758" t="str">
        <f>Plant_Information!$B$6</f>
        <v>(INSERT VENDOR NAME HERE)</v>
      </c>
      <c r="R758" t="str">
        <f>'HAULING RATES- ODOT Locations'!$A$151</f>
        <v>District 8</v>
      </c>
      <c r="S758" t="str">
        <f>'HAULING RATES- ODOT Locations'!A157</f>
        <v>Clermont</v>
      </c>
      <c r="T758" t="str">
        <f>'HAULING RATES- ODOT Locations'!B157</f>
        <v>809 U. S. Route 50, Milford, OH 45150</v>
      </c>
      <c r="U758" t="str">
        <f>'HAULING RATES- ODOT Locations'!F$8</f>
        <v>Sand</v>
      </c>
      <c r="V758" s="146">
        <f>'HAULING RATES- ODOT Locations'!F157</f>
        <v>0</v>
      </c>
      <c r="W758" s="131" t="str">
        <f>+'Aggregate, Plant Pick-up'!$C$6</f>
        <v>LAFARGE-MARBLEHEAD "OSBORNE-CLEVELAND"</v>
      </c>
      <c r="X758" s="131" t="str">
        <f>+Plant_Information!$B$10</f>
        <v>04105-28</v>
      </c>
      <c r="Y758" s="131" t="str">
        <f>+Plant_Information!$B$11</f>
        <v>2100 CENTRAL FURNACE ROAD</v>
      </c>
      <c r="Z758" s="131" t="str">
        <f>+Plant_Information!$B$12</f>
        <v>CLEVELAND, OH, 44115</v>
      </c>
      <c r="AA758" s="131" t="str">
        <f>+Plant_Information!$B$13</f>
        <v>12</v>
      </c>
      <c r="AB758" s="131" t="str">
        <f>+Plant_Information!$B$14</f>
        <v>CUY</v>
      </c>
      <c r="AC758" s="70"/>
    </row>
    <row r="759" spans="17:29" x14ac:dyDescent="0.2">
      <c r="Q759" t="str">
        <f>Plant_Information!$B$6</f>
        <v>(INSERT VENDOR NAME HERE)</v>
      </c>
      <c r="R759" t="str">
        <f>'HAULING RATES- ODOT Locations'!$A$151</f>
        <v>District 8</v>
      </c>
      <c r="S759" t="str">
        <f>'HAULING RATES- ODOT Locations'!A158</f>
        <v>Clermont</v>
      </c>
      <c r="T759" t="str">
        <f>'HAULING RATES- ODOT Locations'!B158</f>
        <v>939 Old U. S. Route 52, New Richmond, OH 45157</v>
      </c>
      <c r="U759" t="str">
        <f>'HAULING RATES- ODOT Locations'!F$8</f>
        <v>Sand</v>
      </c>
      <c r="V759" s="146">
        <f>'HAULING RATES- ODOT Locations'!F158</f>
        <v>0</v>
      </c>
      <c r="W759" s="131" t="str">
        <f>+'Aggregate, Plant Pick-up'!$C$6</f>
        <v>LAFARGE-MARBLEHEAD "OSBORNE-CLEVELAND"</v>
      </c>
      <c r="X759" s="131" t="str">
        <f>+Plant_Information!$B$10</f>
        <v>04105-28</v>
      </c>
      <c r="Y759" s="131" t="str">
        <f>+Plant_Information!$B$11</f>
        <v>2100 CENTRAL FURNACE ROAD</v>
      </c>
      <c r="Z759" s="131" t="str">
        <f>+Plant_Information!$B$12</f>
        <v>CLEVELAND, OH, 44115</v>
      </c>
      <c r="AA759" s="131" t="str">
        <f>+Plant_Information!$B$13</f>
        <v>12</v>
      </c>
      <c r="AB759" s="131" t="str">
        <f>+Plant_Information!$B$14</f>
        <v>CUY</v>
      </c>
      <c r="AC759" s="70"/>
    </row>
    <row r="760" spans="17:29" x14ac:dyDescent="0.2">
      <c r="Q760" t="str">
        <f>Plant_Information!$B$6</f>
        <v>(INSERT VENDOR NAME HERE)</v>
      </c>
      <c r="R760" t="str">
        <f>'HAULING RATES- ODOT Locations'!$A$151</f>
        <v>District 8</v>
      </c>
      <c r="S760" t="str">
        <f>'HAULING RATES- ODOT Locations'!A159</f>
        <v>Clinton</v>
      </c>
      <c r="T760" t="str">
        <f>'HAULING RATES- ODOT Locations'!B159</f>
        <v>3382 U. S. Route 68, Wilmington, OH 45177</v>
      </c>
      <c r="U760" t="str">
        <f>'HAULING RATES- ODOT Locations'!F$8</f>
        <v>Sand</v>
      </c>
      <c r="V760" s="146">
        <f>'HAULING RATES- ODOT Locations'!F159</f>
        <v>0</v>
      </c>
      <c r="W760" s="131" t="str">
        <f>+'Aggregate, Plant Pick-up'!$C$6</f>
        <v>LAFARGE-MARBLEHEAD "OSBORNE-CLEVELAND"</v>
      </c>
      <c r="X760" s="131" t="str">
        <f>+Plant_Information!$B$10</f>
        <v>04105-28</v>
      </c>
      <c r="Y760" s="131" t="str">
        <f>+Plant_Information!$B$11</f>
        <v>2100 CENTRAL FURNACE ROAD</v>
      </c>
      <c r="Z760" s="131" t="str">
        <f>+Plant_Information!$B$12</f>
        <v>CLEVELAND, OH, 44115</v>
      </c>
      <c r="AA760" s="131" t="str">
        <f>+Plant_Information!$B$13</f>
        <v>12</v>
      </c>
      <c r="AB760" s="131" t="str">
        <f>+Plant_Information!$B$14</f>
        <v>CUY</v>
      </c>
      <c r="AC760" s="70"/>
    </row>
    <row r="761" spans="17:29" x14ac:dyDescent="0.2">
      <c r="Q761" t="str">
        <f>Plant_Information!$B$6</f>
        <v>(INSERT VENDOR NAME HERE)</v>
      </c>
      <c r="R761" t="str">
        <f>'HAULING RATES- ODOT Locations'!$A$151</f>
        <v>District 8</v>
      </c>
      <c r="S761" t="str">
        <f>'HAULING RATES- ODOT Locations'!A160</f>
        <v>Clinton</v>
      </c>
      <c r="T761" t="str">
        <f>'HAULING RATES- ODOT Locations'!B160</f>
        <v>5996 U. S. Route 68, Wilmington, OH 45177  (I-71 &amp; USR 68 OP)</v>
      </c>
      <c r="U761" t="str">
        <f>'HAULING RATES- ODOT Locations'!F$8</f>
        <v>Sand</v>
      </c>
      <c r="V761" s="146">
        <f>'HAULING RATES- ODOT Locations'!F160</f>
        <v>0</v>
      </c>
      <c r="W761" s="131" t="str">
        <f>+'Aggregate, Plant Pick-up'!$C$6</f>
        <v>LAFARGE-MARBLEHEAD "OSBORNE-CLEVELAND"</v>
      </c>
      <c r="X761" s="131" t="str">
        <f>+Plant_Information!$B$10</f>
        <v>04105-28</v>
      </c>
      <c r="Y761" s="131" t="str">
        <f>+Plant_Information!$B$11</f>
        <v>2100 CENTRAL FURNACE ROAD</v>
      </c>
      <c r="Z761" s="131" t="str">
        <f>+Plant_Information!$B$12</f>
        <v>CLEVELAND, OH, 44115</v>
      </c>
      <c r="AA761" s="131" t="str">
        <f>+Plant_Information!$B$13</f>
        <v>12</v>
      </c>
      <c r="AB761" s="131" t="str">
        <f>+Plant_Information!$B$14</f>
        <v>CUY</v>
      </c>
      <c r="AC761" s="70"/>
    </row>
    <row r="762" spans="17:29" x14ac:dyDescent="0.2">
      <c r="Q762" t="str">
        <f>Plant_Information!$B$6</f>
        <v>(INSERT VENDOR NAME HERE)</v>
      </c>
      <c r="R762" t="str">
        <f>'HAULING RATES- ODOT Locations'!$A$151</f>
        <v>District 8</v>
      </c>
      <c r="S762" t="str">
        <f>'HAULING RATES- ODOT Locations'!A161</f>
        <v>Greene</v>
      </c>
      <c r="T762" t="str">
        <f>'HAULING RATES- ODOT Locations'!B161</f>
        <v>81 Innovation Dr., Xenia, OH 45385</v>
      </c>
      <c r="U762" t="str">
        <f>'HAULING RATES- ODOT Locations'!F$8</f>
        <v>Sand</v>
      </c>
      <c r="V762" s="146">
        <f>'HAULING RATES- ODOT Locations'!F161</f>
        <v>0</v>
      </c>
      <c r="W762" s="131" t="str">
        <f>+'Aggregate, Plant Pick-up'!$C$6</f>
        <v>LAFARGE-MARBLEHEAD "OSBORNE-CLEVELAND"</v>
      </c>
      <c r="X762" s="131" t="str">
        <f>+Plant_Information!$B$10</f>
        <v>04105-28</v>
      </c>
      <c r="Y762" s="131" t="str">
        <f>+Plant_Information!$B$11</f>
        <v>2100 CENTRAL FURNACE ROAD</v>
      </c>
      <c r="Z762" s="131" t="str">
        <f>+Plant_Information!$B$12</f>
        <v>CLEVELAND, OH, 44115</v>
      </c>
      <c r="AA762" s="131" t="str">
        <f>+Plant_Information!$B$13</f>
        <v>12</v>
      </c>
      <c r="AB762" s="131" t="str">
        <f>+Plant_Information!$B$14</f>
        <v>CUY</v>
      </c>
      <c r="AC762" s="70"/>
    </row>
    <row r="763" spans="17:29" x14ac:dyDescent="0.2">
      <c r="Q763" t="str">
        <f>Plant_Information!$B$6</f>
        <v>(INSERT VENDOR NAME HERE)</v>
      </c>
      <c r="R763" t="str">
        <f>'HAULING RATES- ODOT Locations'!$A$151</f>
        <v>District 8</v>
      </c>
      <c r="S763" t="str">
        <f>'HAULING RATES- ODOT Locations'!A162</f>
        <v>Hamilton</v>
      </c>
      <c r="T763" t="str">
        <f>'HAULING RATES- ODOT Locations'!B162</f>
        <v>Blue Ash OP, 11590 Grooms Road, Blue Ash, OH 45242</v>
      </c>
      <c r="U763" t="str">
        <f>'HAULING RATES- ODOT Locations'!F$8</f>
        <v>Sand</v>
      </c>
      <c r="V763" s="146">
        <f>'HAULING RATES- ODOT Locations'!F162</f>
        <v>0</v>
      </c>
      <c r="W763" s="131" t="str">
        <f>+'Aggregate, Plant Pick-up'!$C$6</f>
        <v>LAFARGE-MARBLEHEAD "OSBORNE-CLEVELAND"</v>
      </c>
      <c r="X763" s="131" t="str">
        <f>+Plant_Information!$B$10</f>
        <v>04105-28</v>
      </c>
      <c r="Y763" s="131" t="str">
        <f>+Plant_Information!$B$11</f>
        <v>2100 CENTRAL FURNACE ROAD</v>
      </c>
      <c r="Z763" s="131" t="str">
        <f>+Plant_Information!$B$12</f>
        <v>CLEVELAND, OH, 44115</v>
      </c>
      <c r="AA763" s="131" t="str">
        <f>+Plant_Information!$B$13</f>
        <v>12</v>
      </c>
      <c r="AB763" s="131" t="str">
        <f>+Plant_Information!$B$14</f>
        <v>CUY</v>
      </c>
      <c r="AC763" s="70"/>
    </row>
    <row r="764" spans="17:29" x14ac:dyDescent="0.2">
      <c r="Q764" t="str">
        <f>Plant_Information!$B$6</f>
        <v>(INSERT VENDOR NAME HERE)</v>
      </c>
      <c r="R764" t="str">
        <f>'HAULING RATES- ODOT Locations'!$A$151</f>
        <v>District 8</v>
      </c>
      <c r="S764" t="str">
        <f>'HAULING RATES- ODOT Locations'!A163</f>
        <v>Hamilton</v>
      </c>
      <c r="T764" t="str">
        <f>'HAULING RATES- ODOT Locations'!B163</f>
        <v>Hamilton Garage, Carthage, 1400 E. Seymour Ave., Cincinnati, OH 45327</v>
      </c>
      <c r="U764" t="str">
        <f>'HAULING RATES- ODOT Locations'!F$8</f>
        <v>Sand</v>
      </c>
      <c r="V764" s="146">
        <f>'HAULING RATES- ODOT Locations'!F163</f>
        <v>0</v>
      </c>
      <c r="W764" s="131" t="str">
        <f>+'Aggregate, Plant Pick-up'!$C$6</f>
        <v>LAFARGE-MARBLEHEAD "OSBORNE-CLEVELAND"</v>
      </c>
      <c r="X764" s="131" t="str">
        <f>+Plant_Information!$B$10</f>
        <v>04105-28</v>
      </c>
      <c r="Y764" s="131" t="str">
        <f>+Plant_Information!$B$11</f>
        <v>2100 CENTRAL FURNACE ROAD</v>
      </c>
      <c r="Z764" s="131" t="str">
        <f>+Plant_Information!$B$12</f>
        <v>CLEVELAND, OH, 44115</v>
      </c>
      <c r="AA764" s="131" t="str">
        <f>+Plant_Information!$B$13</f>
        <v>12</v>
      </c>
      <c r="AB764" s="131" t="str">
        <f>+Plant_Information!$B$14</f>
        <v>CUY</v>
      </c>
      <c r="AC764" s="70"/>
    </row>
    <row r="765" spans="17:29" x14ac:dyDescent="0.2">
      <c r="Q765" t="str">
        <f>Plant_Information!$B$6</f>
        <v>(INSERT VENDOR NAME HERE)</v>
      </c>
      <c r="R765" t="str">
        <f>'HAULING RATES- ODOT Locations'!$A$151</f>
        <v>District 8</v>
      </c>
      <c r="S765" t="str">
        <f>'HAULING RATES- ODOT Locations'!A164</f>
        <v>Hamilton</v>
      </c>
      <c r="T765" t="str">
        <f>'HAULING RATES- ODOT Locations'!B164</f>
        <v>5903 State Route 128, Miamitown, OH 45041</v>
      </c>
      <c r="U765" t="str">
        <f>'HAULING RATES- ODOT Locations'!F$8</f>
        <v>Sand</v>
      </c>
      <c r="V765" s="146">
        <f>'HAULING RATES- ODOT Locations'!F164</f>
        <v>0</v>
      </c>
      <c r="W765" s="131" t="str">
        <f>+'Aggregate, Plant Pick-up'!$C$6</f>
        <v>LAFARGE-MARBLEHEAD "OSBORNE-CLEVELAND"</v>
      </c>
      <c r="X765" s="131" t="str">
        <f>+Plant_Information!$B$10</f>
        <v>04105-28</v>
      </c>
      <c r="Y765" s="131" t="str">
        <f>+Plant_Information!$B$11</f>
        <v>2100 CENTRAL FURNACE ROAD</v>
      </c>
      <c r="Z765" s="131" t="str">
        <f>+Plant_Information!$B$12</f>
        <v>CLEVELAND, OH, 44115</v>
      </c>
      <c r="AA765" s="131" t="str">
        <f>+Plant_Information!$B$13</f>
        <v>12</v>
      </c>
      <c r="AB765" s="131" t="str">
        <f>+Plant_Information!$B$14</f>
        <v>CUY</v>
      </c>
      <c r="AC765" s="70"/>
    </row>
    <row r="766" spans="17:29" x14ac:dyDescent="0.2">
      <c r="Q766" t="str">
        <f>Plant_Information!$B$6</f>
        <v>(INSERT VENDOR NAME HERE)</v>
      </c>
      <c r="R766" t="str">
        <f>'HAULING RATES- ODOT Locations'!$A$151</f>
        <v>District 8</v>
      </c>
      <c r="S766" t="str">
        <f>'HAULING RATES- ODOT Locations'!A165</f>
        <v>Hamilton</v>
      </c>
      <c r="T766" t="str">
        <f>'HAULING RATES- ODOT Locations'!B165</f>
        <v>Sharonville OP, 11900 Chesterdale Rd.,  Cincinnati</v>
      </c>
      <c r="U766" t="str">
        <f>'HAULING RATES- ODOT Locations'!F$8</f>
        <v>Sand</v>
      </c>
      <c r="V766" s="146">
        <f>'HAULING RATES- ODOT Locations'!F165</f>
        <v>0</v>
      </c>
      <c r="W766" s="131" t="str">
        <f>+'Aggregate, Plant Pick-up'!$C$6</f>
        <v>LAFARGE-MARBLEHEAD "OSBORNE-CLEVELAND"</v>
      </c>
      <c r="X766" s="131" t="str">
        <f>+Plant_Information!$B$10</f>
        <v>04105-28</v>
      </c>
      <c r="Y766" s="131" t="str">
        <f>+Plant_Information!$B$11</f>
        <v>2100 CENTRAL FURNACE ROAD</v>
      </c>
      <c r="Z766" s="131" t="str">
        <f>+Plant_Information!$B$12</f>
        <v>CLEVELAND, OH, 44115</v>
      </c>
      <c r="AA766" s="131" t="str">
        <f>+Plant_Information!$B$13</f>
        <v>12</v>
      </c>
      <c r="AB766" s="131" t="str">
        <f>+Plant_Information!$B$14</f>
        <v>CUY</v>
      </c>
      <c r="AC766" s="70"/>
    </row>
    <row r="767" spans="17:29" x14ac:dyDescent="0.2">
      <c r="Q767" t="str">
        <f>Plant_Information!$B$6</f>
        <v>(INSERT VENDOR NAME HERE)</v>
      </c>
      <c r="R767" t="str">
        <f>'HAULING RATES- ODOT Locations'!$A$151</f>
        <v>District 8</v>
      </c>
      <c r="S767" t="str">
        <f>'HAULING RATES- ODOT Locations'!A166</f>
        <v>Preble</v>
      </c>
      <c r="T767" t="str">
        <f>'HAULING RATES- ODOT Locations'!B166</f>
        <v>40' Pitch OP, 5656 US 127 North, Eaton, OH 45320</v>
      </c>
      <c r="U767" t="str">
        <f>'HAULING RATES- ODOT Locations'!F$8</f>
        <v>Sand</v>
      </c>
      <c r="V767" s="146">
        <f>'HAULING RATES- ODOT Locations'!F166</f>
        <v>0</v>
      </c>
      <c r="W767" s="131" t="str">
        <f>+'Aggregate, Plant Pick-up'!$C$6</f>
        <v>LAFARGE-MARBLEHEAD "OSBORNE-CLEVELAND"</v>
      </c>
      <c r="X767" s="131" t="str">
        <f>+Plant_Information!$B$10</f>
        <v>04105-28</v>
      </c>
      <c r="Y767" s="131" t="str">
        <f>+Plant_Information!$B$11</f>
        <v>2100 CENTRAL FURNACE ROAD</v>
      </c>
      <c r="Z767" s="131" t="str">
        <f>+Plant_Information!$B$12</f>
        <v>CLEVELAND, OH, 44115</v>
      </c>
      <c r="AA767" s="131" t="str">
        <f>+Plant_Information!$B$13</f>
        <v>12</v>
      </c>
      <c r="AB767" s="131" t="str">
        <f>+Plant_Information!$B$14</f>
        <v>CUY</v>
      </c>
      <c r="AC767" s="70"/>
    </row>
    <row r="768" spans="17:29" x14ac:dyDescent="0.2">
      <c r="Q768" t="str">
        <f>Plant_Information!$B$6</f>
        <v>(INSERT VENDOR NAME HERE)</v>
      </c>
      <c r="R768" t="str">
        <f>'HAULING RATES- ODOT Locations'!$A$151</f>
        <v>District 8</v>
      </c>
      <c r="S768" t="str">
        <f>'HAULING RATES- ODOT Locations'!A167</f>
        <v>Preble</v>
      </c>
      <c r="T768" t="str">
        <f>'HAULING RATES- ODOT Locations'!B167</f>
        <v>39.575773, -84.711591, According to Google Maps, 17188 SR 732, Camden, Ohio  45311</v>
      </c>
      <c r="U768" t="str">
        <f>'HAULING RATES- ODOT Locations'!F$8</f>
        <v>Sand</v>
      </c>
      <c r="V768" s="146">
        <f>'HAULING RATES- ODOT Locations'!F167</f>
        <v>0</v>
      </c>
      <c r="W768" s="131" t="str">
        <f>+'Aggregate, Plant Pick-up'!$C$6</f>
        <v>LAFARGE-MARBLEHEAD "OSBORNE-CLEVELAND"</v>
      </c>
      <c r="X768" s="131" t="str">
        <f>+Plant_Information!$B$10</f>
        <v>04105-28</v>
      </c>
      <c r="Y768" s="131" t="str">
        <f>+Plant_Information!$B$11</f>
        <v>2100 CENTRAL FURNACE ROAD</v>
      </c>
      <c r="Z768" s="131" t="str">
        <f>+Plant_Information!$B$12</f>
        <v>CLEVELAND, OH, 44115</v>
      </c>
      <c r="AA768" s="131" t="str">
        <f>+Plant_Information!$B$13</f>
        <v>12</v>
      </c>
      <c r="AB768" s="131" t="str">
        <f>+Plant_Information!$B$14</f>
        <v>CUY</v>
      </c>
      <c r="AC768" s="70"/>
    </row>
    <row r="769" spans="17:29" x14ac:dyDescent="0.2">
      <c r="Q769" t="str">
        <f>Plant_Information!$B$6</f>
        <v>(INSERT VENDOR NAME HERE)</v>
      </c>
      <c r="R769" t="str">
        <f>'HAULING RATES- ODOT Locations'!$A$151</f>
        <v>District 8</v>
      </c>
      <c r="S769" t="str">
        <f>'HAULING RATES- ODOT Locations'!A168</f>
        <v>Preble</v>
      </c>
      <c r="T769" t="str">
        <f>'HAULING RATES- ODOT Locations'!B168</f>
        <v>234 Quaker Trace Road, West Alexandria, OH 45381</v>
      </c>
      <c r="U769" t="str">
        <f>'HAULING RATES- ODOT Locations'!F$8</f>
        <v>Sand</v>
      </c>
      <c r="V769" s="146">
        <f>'HAULING RATES- ODOT Locations'!F168</f>
        <v>0</v>
      </c>
      <c r="W769" s="131" t="str">
        <f>+'Aggregate, Plant Pick-up'!$C$6</f>
        <v>LAFARGE-MARBLEHEAD "OSBORNE-CLEVELAND"</v>
      </c>
      <c r="X769" s="131" t="str">
        <f>+Plant_Information!$B$10</f>
        <v>04105-28</v>
      </c>
      <c r="Y769" s="131" t="str">
        <f>+Plant_Information!$B$11</f>
        <v>2100 CENTRAL FURNACE ROAD</v>
      </c>
      <c r="Z769" s="131" t="str">
        <f>+Plant_Information!$B$12</f>
        <v>CLEVELAND, OH, 44115</v>
      </c>
      <c r="AA769" s="131" t="str">
        <f>+Plant_Information!$B$13</f>
        <v>12</v>
      </c>
      <c r="AB769" s="131" t="str">
        <f>+Plant_Information!$B$14</f>
        <v>CUY</v>
      </c>
      <c r="AC769" s="70"/>
    </row>
    <row r="770" spans="17:29" x14ac:dyDescent="0.2">
      <c r="Q770" t="str">
        <f>Plant_Information!$B$6</f>
        <v>(INSERT VENDOR NAME HERE)</v>
      </c>
      <c r="R770" t="str">
        <f>'HAULING RATES- ODOT Locations'!$A$151</f>
        <v>District 8</v>
      </c>
      <c r="S770" t="str">
        <f>'HAULING RATES- ODOT Locations'!A169</f>
        <v>Warren</v>
      </c>
      <c r="T770" t="str">
        <f>'HAULING RATES- ODOT Locations'!B169</f>
        <v>Monroe OP, 6101 State Route 63, Lebanon, OH 45036</v>
      </c>
      <c r="U770" t="str">
        <f>'HAULING RATES- ODOT Locations'!F$8</f>
        <v>Sand</v>
      </c>
      <c r="V770" s="146">
        <f>'HAULING RATES- ODOT Locations'!F169</f>
        <v>0</v>
      </c>
      <c r="W770" s="131" t="str">
        <f>+'Aggregate, Plant Pick-up'!$C$6</f>
        <v>LAFARGE-MARBLEHEAD "OSBORNE-CLEVELAND"</v>
      </c>
      <c r="X770" s="131" t="str">
        <f>+Plant_Information!$B$10</f>
        <v>04105-28</v>
      </c>
      <c r="Y770" s="131" t="str">
        <f>+Plant_Information!$B$11</f>
        <v>2100 CENTRAL FURNACE ROAD</v>
      </c>
      <c r="Z770" s="131" t="str">
        <f>+Plant_Information!$B$12</f>
        <v>CLEVELAND, OH, 44115</v>
      </c>
      <c r="AA770" s="131" t="str">
        <f>+Plant_Information!$B$13</f>
        <v>12</v>
      </c>
      <c r="AB770" s="131" t="str">
        <f>+Plant_Information!$B$14</f>
        <v>CUY</v>
      </c>
      <c r="AC770" s="70"/>
    </row>
    <row r="771" spans="17:29" x14ac:dyDescent="0.2">
      <c r="Q771" t="str">
        <f>Plant_Information!$B$6</f>
        <v>(INSERT VENDOR NAME HERE)</v>
      </c>
      <c r="R771" t="str">
        <f>'HAULING RATES- ODOT Locations'!$A$151</f>
        <v>District 8</v>
      </c>
      <c r="S771" t="str">
        <f>'HAULING RATES- ODOT Locations'!A170</f>
        <v>Warren</v>
      </c>
      <c r="T771" t="str">
        <f>'HAULING RATES- ODOT Locations'!B170</f>
        <v>1790 Cornett Drive, Lebanon, OH 45036</v>
      </c>
      <c r="U771" t="str">
        <f>'HAULING RATES- ODOT Locations'!F$8</f>
        <v>Sand</v>
      </c>
      <c r="V771" s="146">
        <f>'HAULING RATES- ODOT Locations'!F170</f>
        <v>0</v>
      </c>
      <c r="W771" s="131" t="str">
        <f>+'Aggregate, Plant Pick-up'!$C$6</f>
        <v>LAFARGE-MARBLEHEAD "OSBORNE-CLEVELAND"</v>
      </c>
      <c r="X771" s="131" t="str">
        <f>+Plant_Information!$B$10</f>
        <v>04105-28</v>
      </c>
      <c r="Y771" s="131" t="str">
        <f>+Plant_Information!$B$11</f>
        <v>2100 CENTRAL FURNACE ROAD</v>
      </c>
      <c r="Z771" s="131" t="str">
        <f>+Plant_Information!$B$12</f>
        <v>CLEVELAND, OH, 44115</v>
      </c>
      <c r="AA771" s="131" t="str">
        <f>+Plant_Information!$B$13</f>
        <v>12</v>
      </c>
      <c r="AB771" s="131" t="str">
        <f>+Plant_Information!$B$14</f>
        <v>CUY</v>
      </c>
      <c r="AC771" s="70"/>
    </row>
    <row r="772" spans="17:29" x14ac:dyDescent="0.2">
      <c r="Q772" t="str">
        <f>Plant_Information!$B$6</f>
        <v>(INSERT VENDOR NAME HERE)</v>
      </c>
      <c r="R772" t="str">
        <f>'HAULING RATES- ODOT Locations'!$A$171</f>
        <v>District 9</v>
      </c>
      <c r="S772" t="str">
        <f>'HAULING RATES- ODOT Locations'!A174</f>
        <v>Adams</v>
      </c>
      <c r="T772" t="str">
        <f>'HAULING RATES- ODOT Locations'!B174</f>
        <v>1305 Measley Ridge Rd. Peebles, OH 45660</v>
      </c>
      <c r="U772" t="str">
        <f>'HAULING RATES- ODOT Locations'!F$8</f>
        <v>Sand</v>
      </c>
      <c r="V772" s="146">
        <f>'HAULING RATES- ODOT Locations'!F174</f>
        <v>0</v>
      </c>
      <c r="W772" s="131" t="str">
        <f>+'Aggregate, Plant Pick-up'!$C$6</f>
        <v>LAFARGE-MARBLEHEAD "OSBORNE-CLEVELAND"</v>
      </c>
      <c r="X772" s="131" t="str">
        <f>+Plant_Information!$B$10</f>
        <v>04105-28</v>
      </c>
      <c r="Y772" s="131" t="str">
        <f>+Plant_Information!$B$11</f>
        <v>2100 CENTRAL FURNACE ROAD</v>
      </c>
      <c r="Z772" s="131" t="str">
        <f>+Plant_Information!$B$12</f>
        <v>CLEVELAND, OH, 44115</v>
      </c>
      <c r="AA772" s="131" t="str">
        <f>+Plant_Information!$B$13</f>
        <v>12</v>
      </c>
      <c r="AB772" s="131" t="str">
        <f>+Plant_Information!$B$14</f>
        <v>CUY</v>
      </c>
      <c r="AC772" s="70"/>
    </row>
    <row r="773" spans="17:29" x14ac:dyDescent="0.2">
      <c r="Q773" t="str">
        <f>Plant_Information!$B$6</f>
        <v>(INSERT VENDOR NAME HERE)</v>
      </c>
      <c r="R773" t="str">
        <f>'HAULING RATES- ODOT Locations'!$A$171</f>
        <v>District 9</v>
      </c>
      <c r="S773" t="str">
        <f>'HAULING RATES- ODOT Locations'!A175</f>
        <v>Adams</v>
      </c>
      <c r="T773" t="str">
        <f>'HAULING RATES- ODOT Locations'!B175</f>
        <v>220 CIC Blvd., West Union, OH 45693</v>
      </c>
      <c r="U773" t="str">
        <f>'HAULING RATES- ODOT Locations'!F$8</f>
        <v>Sand</v>
      </c>
      <c r="V773" s="146">
        <f>'HAULING RATES- ODOT Locations'!F175</f>
        <v>0</v>
      </c>
      <c r="W773" s="131" t="str">
        <f>+'Aggregate, Plant Pick-up'!$C$6</f>
        <v>LAFARGE-MARBLEHEAD "OSBORNE-CLEVELAND"</v>
      </c>
      <c r="X773" s="131" t="str">
        <f>+Plant_Information!$B$10</f>
        <v>04105-28</v>
      </c>
      <c r="Y773" s="131" t="str">
        <f>+Plant_Information!$B$11</f>
        <v>2100 CENTRAL FURNACE ROAD</v>
      </c>
      <c r="Z773" s="131" t="str">
        <f>+Plant_Information!$B$12</f>
        <v>CLEVELAND, OH, 44115</v>
      </c>
      <c r="AA773" s="131" t="str">
        <f>+Plant_Information!$B$13</f>
        <v>12</v>
      </c>
      <c r="AB773" s="131" t="str">
        <f>+Plant_Information!$B$14</f>
        <v>CUY</v>
      </c>
      <c r="AC773" s="70"/>
    </row>
    <row r="774" spans="17:29" x14ac:dyDescent="0.2">
      <c r="Q774" t="str">
        <f>Plant_Information!$B$6</f>
        <v>(INSERT VENDOR NAME HERE)</v>
      </c>
      <c r="R774" t="str">
        <f>'HAULING RATES- ODOT Locations'!$A$171</f>
        <v>District 9</v>
      </c>
      <c r="S774" t="str">
        <f>'HAULING RATES- ODOT Locations'!A176</f>
        <v>Brown</v>
      </c>
      <c r="T774" t="str">
        <f>'HAULING RATES- ODOT Locations'!B176</f>
        <v>5124 S.R. 125 Georgetown, OH 45121</v>
      </c>
      <c r="U774" t="str">
        <f>'HAULING RATES- ODOT Locations'!F$8</f>
        <v>Sand</v>
      </c>
      <c r="V774" s="146">
        <f>'HAULING RATES- ODOT Locations'!F176</f>
        <v>0</v>
      </c>
      <c r="W774" s="131" t="str">
        <f>+'Aggregate, Plant Pick-up'!$C$6</f>
        <v>LAFARGE-MARBLEHEAD "OSBORNE-CLEVELAND"</v>
      </c>
      <c r="X774" s="131" t="str">
        <f>+Plant_Information!$B$10</f>
        <v>04105-28</v>
      </c>
      <c r="Y774" s="131" t="str">
        <f>+Plant_Information!$B$11</f>
        <v>2100 CENTRAL FURNACE ROAD</v>
      </c>
      <c r="Z774" s="131" t="str">
        <f>+Plant_Information!$B$12</f>
        <v>CLEVELAND, OH, 44115</v>
      </c>
      <c r="AA774" s="131" t="str">
        <f>+Plant_Information!$B$13</f>
        <v>12</v>
      </c>
      <c r="AB774" s="131" t="str">
        <f>+Plant_Information!$B$14</f>
        <v>CUY</v>
      </c>
      <c r="AC774" s="70"/>
    </row>
    <row r="775" spans="17:29" x14ac:dyDescent="0.2">
      <c r="Q775" t="str">
        <f>Plant_Information!$B$6</f>
        <v>(INSERT VENDOR NAME HERE)</v>
      </c>
      <c r="R775" t="str">
        <f>'HAULING RATES- ODOT Locations'!$A$171</f>
        <v>District 9</v>
      </c>
      <c r="S775" t="str">
        <f>'HAULING RATES- ODOT Locations'!A177</f>
        <v>Brown</v>
      </c>
      <c r="T775" t="str">
        <f>'HAULING RATES- ODOT Locations'!B177</f>
        <v>White Oak OP, 5033 Canyon Rd. Mount Orab, OH 45134</v>
      </c>
      <c r="U775" t="str">
        <f>'HAULING RATES- ODOT Locations'!F$8</f>
        <v>Sand</v>
      </c>
      <c r="V775" s="146">
        <f>'HAULING RATES- ODOT Locations'!F177</f>
        <v>0</v>
      </c>
      <c r="W775" s="131" t="str">
        <f>+'Aggregate, Plant Pick-up'!$C$6</f>
        <v>LAFARGE-MARBLEHEAD "OSBORNE-CLEVELAND"</v>
      </c>
      <c r="X775" s="131" t="str">
        <f>+Plant_Information!$B$10</f>
        <v>04105-28</v>
      </c>
      <c r="Y775" s="131" t="str">
        <f>+Plant_Information!$B$11</f>
        <v>2100 CENTRAL FURNACE ROAD</v>
      </c>
      <c r="Z775" s="131" t="str">
        <f>+Plant_Information!$B$12</f>
        <v>CLEVELAND, OH, 44115</v>
      </c>
      <c r="AA775" s="131" t="str">
        <f>+Plant_Information!$B$13</f>
        <v>12</v>
      </c>
      <c r="AB775" s="131" t="str">
        <f>+Plant_Information!$B$14</f>
        <v>CUY</v>
      </c>
      <c r="AC775" s="70"/>
    </row>
    <row r="776" spans="17:29" x14ac:dyDescent="0.2">
      <c r="Q776" t="str">
        <f>Plant_Information!$B$6</f>
        <v>(INSERT VENDOR NAME HERE)</v>
      </c>
      <c r="R776" t="str">
        <f>'HAULING RATES- ODOT Locations'!$A$171</f>
        <v>District 9</v>
      </c>
      <c r="S776" t="str">
        <f>'HAULING RATES- ODOT Locations'!A178</f>
        <v>Highland</v>
      </c>
      <c r="T776" t="str">
        <f>'HAULING RATES- ODOT Locations'!B178</f>
        <v>521 E Main St, Hillsboro, OH 45133</v>
      </c>
      <c r="U776" t="str">
        <f>'HAULING RATES- ODOT Locations'!F$8</f>
        <v>Sand</v>
      </c>
      <c r="V776" s="146">
        <f>'HAULING RATES- ODOT Locations'!F178</f>
        <v>0</v>
      </c>
      <c r="W776" s="131" t="str">
        <f>+'Aggregate, Plant Pick-up'!$C$6</f>
        <v>LAFARGE-MARBLEHEAD "OSBORNE-CLEVELAND"</v>
      </c>
      <c r="X776" s="131" t="str">
        <f>+Plant_Information!$B$10</f>
        <v>04105-28</v>
      </c>
      <c r="Y776" s="131" t="str">
        <f>+Plant_Information!$B$11</f>
        <v>2100 CENTRAL FURNACE ROAD</v>
      </c>
      <c r="Z776" s="131" t="str">
        <f>+Plant_Information!$B$12</f>
        <v>CLEVELAND, OH, 44115</v>
      </c>
      <c r="AA776" s="131" t="str">
        <f>+Plant_Information!$B$13</f>
        <v>12</v>
      </c>
      <c r="AB776" s="131" t="str">
        <f>+Plant_Information!$B$14</f>
        <v>CUY</v>
      </c>
      <c r="AC776" s="70"/>
    </row>
    <row r="777" spans="17:29" x14ac:dyDescent="0.2">
      <c r="Q777" t="str">
        <f>Plant_Information!$B$6</f>
        <v>(INSERT VENDOR NAME HERE)</v>
      </c>
      <c r="R777" t="str">
        <f>'HAULING RATES- ODOT Locations'!$A$171</f>
        <v>District 9</v>
      </c>
      <c r="S777" t="str">
        <f>'HAULING RATES- ODOT Locations'!A179</f>
        <v>Jackson</v>
      </c>
      <c r="T777" t="str">
        <f>'HAULING RATES- ODOT Locations'!B179</f>
        <v>2251 Rice Rd. Jackson, OH 45640</v>
      </c>
      <c r="U777" t="str">
        <f>'HAULING RATES- ODOT Locations'!F$8</f>
        <v>Sand</v>
      </c>
      <c r="V777" s="146">
        <f>'HAULING RATES- ODOT Locations'!F179</f>
        <v>0</v>
      </c>
      <c r="W777" s="131" t="str">
        <f>+'Aggregate, Plant Pick-up'!$C$6</f>
        <v>LAFARGE-MARBLEHEAD "OSBORNE-CLEVELAND"</v>
      </c>
      <c r="X777" s="131" t="str">
        <f>+Plant_Information!$B$10</f>
        <v>04105-28</v>
      </c>
      <c r="Y777" s="131" t="str">
        <f>+Plant_Information!$B$11</f>
        <v>2100 CENTRAL FURNACE ROAD</v>
      </c>
      <c r="Z777" s="131" t="str">
        <f>+Plant_Information!$B$12</f>
        <v>CLEVELAND, OH, 44115</v>
      </c>
      <c r="AA777" s="131" t="str">
        <f>+Plant_Information!$B$13</f>
        <v>12</v>
      </c>
      <c r="AB777" s="131" t="str">
        <f>+Plant_Information!$B$14</f>
        <v>CUY</v>
      </c>
      <c r="AC777" s="70"/>
    </row>
    <row r="778" spans="17:29" x14ac:dyDescent="0.2">
      <c r="Q778" t="str">
        <f>Plant_Information!$B$6</f>
        <v>(INSERT VENDOR NAME HERE)</v>
      </c>
      <c r="R778" t="str">
        <f>'HAULING RATES- ODOT Locations'!$A$171</f>
        <v>District 9</v>
      </c>
      <c r="S778" t="str">
        <f>'HAULING RATES- ODOT Locations'!A180</f>
        <v>Jackson</v>
      </c>
      <c r="T778" t="str">
        <f>'HAULING RATES- ODOT Locations'!B180</f>
        <v>13366 SR 279, Oak Hill, OH 45656</v>
      </c>
      <c r="U778" t="str">
        <f>'HAULING RATES- ODOT Locations'!F$8</f>
        <v>Sand</v>
      </c>
      <c r="V778" s="146">
        <f>'HAULING RATES- ODOT Locations'!F180</f>
        <v>0</v>
      </c>
      <c r="W778" s="131" t="str">
        <f>+'Aggregate, Plant Pick-up'!$C$6</f>
        <v>LAFARGE-MARBLEHEAD "OSBORNE-CLEVELAND"</v>
      </c>
      <c r="X778" s="131" t="str">
        <f>+Plant_Information!$B$10</f>
        <v>04105-28</v>
      </c>
      <c r="Y778" s="131" t="str">
        <f>+Plant_Information!$B$11</f>
        <v>2100 CENTRAL FURNACE ROAD</v>
      </c>
      <c r="Z778" s="131" t="str">
        <f>+Plant_Information!$B$12</f>
        <v>CLEVELAND, OH, 44115</v>
      </c>
      <c r="AA778" s="131" t="str">
        <f>+Plant_Information!$B$13</f>
        <v>12</v>
      </c>
      <c r="AB778" s="131" t="str">
        <f>+Plant_Information!$B$14</f>
        <v>CUY</v>
      </c>
      <c r="AC778" s="70"/>
    </row>
    <row r="779" spans="17:29" x14ac:dyDescent="0.2">
      <c r="Q779" t="str">
        <f>Plant_Information!$B$6</f>
        <v>(INSERT VENDOR NAME HERE)</v>
      </c>
      <c r="R779" t="str">
        <f>'HAULING RATES- ODOT Locations'!$A$171</f>
        <v>District 9</v>
      </c>
      <c r="S779" t="str">
        <f>'HAULING RATES- ODOT Locations'!A181</f>
        <v>Lawrence</v>
      </c>
      <c r="T779" t="str">
        <f>'HAULING RATES- ODOT Locations'!B181</f>
        <v>450 Commerce Drive Ironton, OH 45638</v>
      </c>
      <c r="U779" t="str">
        <f>'HAULING RATES- ODOT Locations'!F$8</f>
        <v>Sand</v>
      </c>
      <c r="V779" s="146">
        <f>'HAULING RATES- ODOT Locations'!F181</f>
        <v>0</v>
      </c>
      <c r="W779" s="131" t="str">
        <f>+'Aggregate, Plant Pick-up'!$C$6</f>
        <v>LAFARGE-MARBLEHEAD "OSBORNE-CLEVELAND"</v>
      </c>
      <c r="X779" s="131" t="str">
        <f>+Plant_Information!$B$10</f>
        <v>04105-28</v>
      </c>
      <c r="Y779" s="131" t="str">
        <f>+Plant_Information!$B$11</f>
        <v>2100 CENTRAL FURNACE ROAD</v>
      </c>
      <c r="Z779" s="131" t="str">
        <f>+Plant_Information!$B$12</f>
        <v>CLEVELAND, OH, 44115</v>
      </c>
      <c r="AA779" s="131" t="str">
        <f>+Plant_Information!$B$13</f>
        <v>12</v>
      </c>
      <c r="AB779" s="131" t="str">
        <f>+Plant_Information!$B$14</f>
        <v>CUY</v>
      </c>
      <c r="AC779" s="70"/>
    </row>
    <row r="780" spans="17:29" x14ac:dyDescent="0.2">
      <c r="Q780" t="str">
        <f>Plant_Information!$B$6</f>
        <v>(INSERT VENDOR NAME HERE)</v>
      </c>
      <c r="R780" t="str">
        <f>'HAULING RATES- ODOT Locations'!$A$171</f>
        <v>District 9</v>
      </c>
      <c r="S780" t="str">
        <f>'HAULING RATES- ODOT Locations'!A182</f>
        <v>Lawrence</v>
      </c>
      <c r="T780" t="str">
        <f>'HAULING RATES- ODOT Locations'!B182</f>
        <v>10332 S.R. 775 Proctorville, OH 45669</v>
      </c>
      <c r="U780" t="str">
        <f>'HAULING RATES- ODOT Locations'!F$8</f>
        <v>Sand</v>
      </c>
      <c r="V780" s="146">
        <f>'HAULING RATES- ODOT Locations'!F182</f>
        <v>0</v>
      </c>
      <c r="W780" s="131" t="str">
        <f>+'Aggregate, Plant Pick-up'!$C$6</f>
        <v>LAFARGE-MARBLEHEAD "OSBORNE-CLEVELAND"</v>
      </c>
      <c r="X780" s="131" t="str">
        <f>+Plant_Information!$B$10</f>
        <v>04105-28</v>
      </c>
      <c r="Y780" s="131" t="str">
        <f>+Plant_Information!$B$11</f>
        <v>2100 CENTRAL FURNACE ROAD</v>
      </c>
      <c r="Z780" s="131" t="str">
        <f>+Plant_Information!$B$12</f>
        <v>CLEVELAND, OH, 44115</v>
      </c>
      <c r="AA780" s="131" t="str">
        <f>+Plant_Information!$B$13</f>
        <v>12</v>
      </c>
      <c r="AB780" s="131" t="str">
        <f>+Plant_Information!$B$14</f>
        <v>CUY</v>
      </c>
      <c r="AC780" s="70"/>
    </row>
    <row r="781" spans="17:29" x14ac:dyDescent="0.2">
      <c r="Q781" t="str">
        <f>Plant_Information!$B$6</f>
        <v>(INSERT VENDOR NAME HERE)</v>
      </c>
      <c r="R781" t="str">
        <f>'HAULING RATES- ODOT Locations'!$A$171</f>
        <v>District 9</v>
      </c>
      <c r="S781" t="str">
        <f>'HAULING RATES- ODOT Locations'!A183</f>
        <v>Lawrence</v>
      </c>
      <c r="T781" t="str">
        <f>'HAULING RATES- ODOT Locations'!B183</f>
        <v>16979 S.R. 141 Willow Wood, OH 45696</v>
      </c>
      <c r="U781" t="str">
        <f>'HAULING RATES- ODOT Locations'!F$8</f>
        <v>Sand</v>
      </c>
      <c r="V781" s="146">
        <f>'HAULING RATES- ODOT Locations'!F183</f>
        <v>0</v>
      </c>
      <c r="W781" s="131" t="str">
        <f>+'Aggregate, Plant Pick-up'!$C$6</f>
        <v>LAFARGE-MARBLEHEAD "OSBORNE-CLEVELAND"</v>
      </c>
      <c r="X781" s="131" t="str">
        <f>+Plant_Information!$B$10</f>
        <v>04105-28</v>
      </c>
      <c r="Y781" s="131" t="str">
        <f>+Plant_Information!$B$11</f>
        <v>2100 CENTRAL FURNACE ROAD</v>
      </c>
      <c r="Z781" s="131" t="str">
        <f>+Plant_Information!$B$12</f>
        <v>CLEVELAND, OH, 44115</v>
      </c>
      <c r="AA781" s="131" t="str">
        <f>+Plant_Information!$B$13</f>
        <v>12</v>
      </c>
      <c r="AB781" s="131" t="str">
        <f>+Plant_Information!$B$14</f>
        <v>CUY</v>
      </c>
      <c r="AC781" s="70"/>
    </row>
    <row r="782" spans="17:29" x14ac:dyDescent="0.2">
      <c r="Q782" t="str">
        <f>Plant_Information!$B$6</f>
        <v>(INSERT VENDOR NAME HERE)</v>
      </c>
      <c r="R782" t="str">
        <f>'HAULING RATES- ODOT Locations'!$A$171</f>
        <v>District 9</v>
      </c>
      <c r="S782" t="str">
        <f>'HAULING RATES- ODOT Locations'!A184</f>
        <v>Pike</v>
      </c>
      <c r="T782" t="str">
        <f>'HAULING RATES- ODOT Locations'!B184</f>
        <v>5591 Wakefield Mound Rd. Piketon, OH 45661</v>
      </c>
      <c r="U782" t="str">
        <f>'HAULING RATES- ODOT Locations'!F$8</f>
        <v>Sand</v>
      </c>
      <c r="V782" s="146">
        <f>'HAULING RATES- ODOT Locations'!F184</f>
        <v>0</v>
      </c>
      <c r="W782" s="131" t="str">
        <f>+'Aggregate, Plant Pick-up'!$C$6</f>
        <v>LAFARGE-MARBLEHEAD "OSBORNE-CLEVELAND"</v>
      </c>
      <c r="X782" s="131" t="str">
        <f>+Plant_Information!$B$10</f>
        <v>04105-28</v>
      </c>
      <c r="Y782" s="131" t="str">
        <f>+Plant_Information!$B$11</f>
        <v>2100 CENTRAL FURNACE ROAD</v>
      </c>
      <c r="Z782" s="131" t="str">
        <f>+Plant_Information!$B$12</f>
        <v>CLEVELAND, OH, 44115</v>
      </c>
      <c r="AA782" s="131" t="str">
        <f>+Plant_Information!$B$13</f>
        <v>12</v>
      </c>
      <c r="AB782" s="131" t="str">
        <f>+Plant_Information!$B$14</f>
        <v>CUY</v>
      </c>
      <c r="AC782" s="70"/>
    </row>
    <row r="783" spans="17:29" x14ac:dyDescent="0.2">
      <c r="Q783" t="str">
        <f>Plant_Information!$B$6</f>
        <v>(INSERT VENDOR NAME HERE)</v>
      </c>
      <c r="R783" t="str">
        <f>'HAULING RATES- ODOT Locations'!$A$171</f>
        <v>District 9</v>
      </c>
      <c r="S783" t="str">
        <f>'HAULING RATES- ODOT Locations'!A185</f>
        <v>Ross</v>
      </c>
      <c r="T783" t="str">
        <f>'HAULING RATES- ODOT Locations'!B185</f>
        <v>255 Larrick Lane Chillicothe, OH 45601</v>
      </c>
      <c r="U783" t="str">
        <f>'HAULING RATES- ODOT Locations'!F$8</f>
        <v>Sand</v>
      </c>
      <c r="V783" s="146">
        <f>'HAULING RATES- ODOT Locations'!F185</f>
        <v>0</v>
      </c>
      <c r="W783" s="131" t="str">
        <f>+'Aggregate, Plant Pick-up'!$C$6</f>
        <v>LAFARGE-MARBLEHEAD "OSBORNE-CLEVELAND"</v>
      </c>
      <c r="X783" s="131" t="str">
        <f>+Plant_Information!$B$10</f>
        <v>04105-28</v>
      </c>
      <c r="Y783" s="131" t="str">
        <f>+Plant_Information!$B$11</f>
        <v>2100 CENTRAL FURNACE ROAD</v>
      </c>
      <c r="Z783" s="131" t="str">
        <f>+Plant_Information!$B$12</f>
        <v>CLEVELAND, OH, 44115</v>
      </c>
      <c r="AA783" s="131" t="str">
        <f>+Plant_Information!$B$13</f>
        <v>12</v>
      </c>
      <c r="AB783" s="131" t="str">
        <f>+Plant_Information!$B$14</f>
        <v>CUY</v>
      </c>
      <c r="AC783" s="70"/>
    </row>
    <row r="784" spans="17:29" x14ac:dyDescent="0.2">
      <c r="Q784" t="str">
        <f>Plant_Information!$B$6</f>
        <v>(INSERT VENDOR NAME HERE)</v>
      </c>
      <c r="R784" t="str">
        <f>'HAULING RATES- ODOT Locations'!$A$171</f>
        <v>District 9</v>
      </c>
      <c r="S784" t="str">
        <f>'HAULING RATES- ODOT Locations'!A186</f>
        <v>Scioto</v>
      </c>
      <c r="T784" t="str">
        <f>'HAULING RATES- ODOT Locations'!B186</f>
        <v>9187 U.S. 23 Lucasville, OH 45648</v>
      </c>
      <c r="U784" t="str">
        <f>'HAULING RATES- ODOT Locations'!F$8</f>
        <v>Sand</v>
      </c>
      <c r="V784" s="146">
        <f>'HAULING RATES- ODOT Locations'!F186</f>
        <v>0</v>
      </c>
      <c r="W784" s="131" t="str">
        <f>+'Aggregate, Plant Pick-up'!$C$6</f>
        <v>LAFARGE-MARBLEHEAD "OSBORNE-CLEVELAND"</v>
      </c>
      <c r="X784" s="131" t="str">
        <f>+Plant_Information!$B$10</f>
        <v>04105-28</v>
      </c>
      <c r="Y784" s="131" t="str">
        <f>+Plant_Information!$B$11</f>
        <v>2100 CENTRAL FURNACE ROAD</v>
      </c>
      <c r="Z784" s="131" t="str">
        <f>+Plant_Information!$B$12</f>
        <v>CLEVELAND, OH, 44115</v>
      </c>
      <c r="AA784" s="131" t="str">
        <f>+Plant_Information!$B$13</f>
        <v>12</v>
      </c>
      <c r="AB784" s="131" t="str">
        <f>+Plant_Information!$B$14</f>
        <v>CUY</v>
      </c>
      <c r="AC784" s="70"/>
    </row>
    <row r="785" spans="17:29" x14ac:dyDescent="0.2">
      <c r="Q785" t="str">
        <f>Plant_Information!$B$6</f>
        <v>(INSERT VENDOR NAME HERE)</v>
      </c>
      <c r="R785" t="str">
        <f>'HAULING RATES- ODOT Locations'!$A$171</f>
        <v>District 9</v>
      </c>
      <c r="S785" t="str">
        <f>'HAULING RATES- ODOT Locations'!A187</f>
        <v>Scioto</v>
      </c>
      <c r="T785" t="str">
        <f>'HAULING RATES- ODOT Locations'!B187</f>
        <v>14 Hayport Rd. Wheelersburg, OH 45694</v>
      </c>
      <c r="U785" t="str">
        <f>'HAULING RATES- ODOT Locations'!F$8</f>
        <v>Sand</v>
      </c>
      <c r="V785" s="146">
        <f>'HAULING RATES- ODOT Locations'!F187</f>
        <v>0</v>
      </c>
      <c r="W785" s="131" t="str">
        <f>+'Aggregate, Plant Pick-up'!$C$6</f>
        <v>LAFARGE-MARBLEHEAD "OSBORNE-CLEVELAND"</v>
      </c>
      <c r="X785" s="131" t="str">
        <f>+Plant_Information!$B$10</f>
        <v>04105-28</v>
      </c>
      <c r="Y785" s="131" t="str">
        <f>+Plant_Information!$B$11</f>
        <v>2100 CENTRAL FURNACE ROAD</v>
      </c>
      <c r="Z785" s="131" t="str">
        <f>+Plant_Information!$B$12</f>
        <v>CLEVELAND, OH, 44115</v>
      </c>
      <c r="AA785" s="131" t="str">
        <f>+Plant_Information!$B$13</f>
        <v>12</v>
      </c>
      <c r="AB785" s="131" t="str">
        <f>+Plant_Information!$B$14</f>
        <v>CUY</v>
      </c>
      <c r="AC785" s="70"/>
    </row>
    <row r="786" spans="17:29" x14ac:dyDescent="0.2">
      <c r="Q786" t="str">
        <f>Plant_Information!$B$6</f>
        <v>(INSERT VENDOR NAME HERE)</v>
      </c>
      <c r="R786" t="str">
        <f>'HAULING RATES- ODOT Locations'!$A$188</f>
        <v>District 10</v>
      </c>
      <c r="S786" t="str">
        <f>'HAULING RATES- ODOT Locations'!A191</f>
        <v>Athens</v>
      </c>
      <c r="T786" t="str">
        <f>'HAULING RATES- ODOT Locations'!B191</f>
        <v>700 West Union St. (SR 56), Athens, OH 45701</v>
      </c>
      <c r="U786" t="str">
        <f>'HAULING RATES- ODOT Locations'!F$8</f>
        <v>Sand</v>
      </c>
      <c r="V786" s="146">
        <f>'HAULING RATES- ODOT Locations'!F191</f>
        <v>0</v>
      </c>
      <c r="W786" s="131" t="str">
        <f>+'Aggregate, Plant Pick-up'!$C$6</f>
        <v>LAFARGE-MARBLEHEAD "OSBORNE-CLEVELAND"</v>
      </c>
      <c r="X786" s="131" t="str">
        <f>+Plant_Information!$B$10</f>
        <v>04105-28</v>
      </c>
      <c r="Y786" s="131" t="str">
        <f>+Plant_Information!$B$11</f>
        <v>2100 CENTRAL FURNACE ROAD</v>
      </c>
      <c r="Z786" s="131" t="str">
        <f>+Plant_Information!$B$12</f>
        <v>CLEVELAND, OH, 44115</v>
      </c>
      <c r="AA786" s="131" t="str">
        <f>+Plant_Information!$B$13</f>
        <v>12</v>
      </c>
      <c r="AB786" s="131" t="str">
        <f>+Plant_Information!$B$14</f>
        <v>CUY</v>
      </c>
      <c r="AC786" s="70"/>
    </row>
    <row r="787" spans="17:29" x14ac:dyDescent="0.2">
      <c r="Q787" t="str">
        <f>Plant_Information!$B$6</f>
        <v>(INSERT VENDOR NAME HERE)</v>
      </c>
      <c r="R787" t="str">
        <f>'HAULING RATES- ODOT Locations'!$A$188</f>
        <v>District 10</v>
      </c>
      <c r="S787" t="str">
        <f>'HAULING RATES- ODOT Locations'!A192</f>
        <v>Athens</v>
      </c>
      <c r="T787" t="str">
        <f>'HAULING RATES- ODOT Locations'!B192</f>
        <v>8411 State Route 78, Glouster, OH 45732</v>
      </c>
      <c r="U787" t="str">
        <f>'HAULING RATES- ODOT Locations'!F$8</f>
        <v>Sand</v>
      </c>
      <c r="V787" s="146">
        <f>'HAULING RATES- ODOT Locations'!F192</f>
        <v>0</v>
      </c>
      <c r="W787" s="131" t="str">
        <f>+'Aggregate, Plant Pick-up'!$C$6</f>
        <v>LAFARGE-MARBLEHEAD "OSBORNE-CLEVELAND"</v>
      </c>
      <c r="X787" s="131" t="str">
        <f>+Plant_Information!$B$10</f>
        <v>04105-28</v>
      </c>
      <c r="Y787" s="131" t="str">
        <f>+Plant_Information!$B$11</f>
        <v>2100 CENTRAL FURNACE ROAD</v>
      </c>
      <c r="Z787" s="131" t="str">
        <f>+Plant_Information!$B$12</f>
        <v>CLEVELAND, OH, 44115</v>
      </c>
      <c r="AA787" s="131" t="str">
        <f>+Plant_Information!$B$13</f>
        <v>12</v>
      </c>
      <c r="AB787" s="131" t="str">
        <f>+Plant_Information!$B$14</f>
        <v>CUY</v>
      </c>
      <c r="AC787" s="70"/>
    </row>
    <row r="788" spans="17:29" x14ac:dyDescent="0.2">
      <c r="Q788" t="str">
        <f>Plant_Information!$B$6</f>
        <v>(INSERT VENDOR NAME HERE)</v>
      </c>
      <c r="R788" t="str">
        <f>'HAULING RATES- ODOT Locations'!$A$188</f>
        <v>District 10</v>
      </c>
      <c r="S788" t="str">
        <f>'HAULING RATES- ODOT Locations'!A193</f>
        <v>Gallia</v>
      </c>
      <c r="T788" t="str">
        <f>'HAULING RATES- ODOT Locations'!B193</f>
        <v>2397 Jackson Pike (Jct. US 35 &amp; SR 160), Bidwell, OH 45614</v>
      </c>
      <c r="U788" t="str">
        <f>'HAULING RATES- ODOT Locations'!F$8</f>
        <v>Sand</v>
      </c>
      <c r="V788" s="146">
        <f>'HAULING RATES- ODOT Locations'!F193</f>
        <v>0</v>
      </c>
      <c r="W788" s="131" t="str">
        <f>+'Aggregate, Plant Pick-up'!$C$6</f>
        <v>LAFARGE-MARBLEHEAD "OSBORNE-CLEVELAND"</v>
      </c>
      <c r="X788" s="131" t="str">
        <f>+Plant_Information!$B$10</f>
        <v>04105-28</v>
      </c>
      <c r="Y788" s="131" t="str">
        <f>+Plant_Information!$B$11</f>
        <v>2100 CENTRAL FURNACE ROAD</v>
      </c>
      <c r="Z788" s="131" t="str">
        <f>+Plant_Information!$B$12</f>
        <v>CLEVELAND, OH, 44115</v>
      </c>
      <c r="AA788" s="131" t="str">
        <f>+Plant_Information!$B$13</f>
        <v>12</v>
      </c>
      <c r="AB788" s="131" t="str">
        <f>+Plant_Information!$B$14</f>
        <v>CUY</v>
      </c>
      <c r="AC788" s="70"/>
    </row>
    <row r="789" spans="17:29" x14ac:dyDescent="0.2">
      <c r="Q789" t="str">
        <f>Plant_Information!$B$6</f>
        <v>(INSERT VENDOR NAME HERE)</v>
      </c>
      <c r="R789" t="str">
        <f>'HAULING RATES- ODOT Locations'!$A$188</f>
        <v>District 10</v>
      </c>
      <c r="S789" t="str">
        <f>'HAULING RATES- ODOT Locations'!A194</f>
        <v>Hocking</v>
      </c>
      <c r="T789" t="str">
        <f>'HAULING RATES- ODOT Locations'!B194</f>
        <v>13176 State Route 664 South, Logan, OH 43138</v>
      </c>
      <c r="U789" t="str">
        <f>'HAULING RATES- ODOT Locations'!F$8</f>
        <v>Sand</v>
      </c>
      <c r="V789" s="146">
        <f>'HAULING RATES- ODOT Locations'!F194</f>
        <v>0</v>
      </c>
      <c r="W789" s="131" t="str">
        <f>+'Aggregate, Plant Pick-up'!$C$6</f>
        <v>LAFARGE-MARBLEHEAD "OSBORNE-CLEVELAND"</v>
      </c>
      <c r="X789" s="131" t="str">
        <f>+Plant_Information!$B$10</f>
        <v>04105-28</v>
      </c>
      <c r="Y789" s="131" t="str">
        <f>+Plant_Information!$B$11</f>
        <v>2100 CENTRAL FURNACE ROAD</v>
      </c>
      <c r="Z789" s="131" t="str">
        <f>+Plant_Information!$B$12</f>
        <v>CLEVELAND, OH, 44115</v>
      </c>
      <c r="AA789" s="131" t="str">
        <f>+Plant_Information!$B$13</f>
        <v>12</v>
      </c>
      <c r="AB789" s="131" t="str">
        <f>+Plant_Information!$B$14</f>
        <v>CUY</v>
      </c>
      <c r="AC789" s="70"/>
    </row>
    <row r="790" spans="17:29" x14ac:dyDescent="0.2">
      <c r="Q790" t="str">
        <f>Plant_Information!$B$6</f>
        <v>(INSERT VENDOR NAME HERE)</v>
      </c>
      <c r="R790" t="str">
        <f>'HAULING RATES- ODOT Locations'!$A$188</f>
        <v>District 10</v>
      </c>
      <c r="S790" t="str">
        <f>'HAULING RATES- ODOT Locations'!A195</f>
        <v>Hocking</v>
      </c>
      <c r="T790" t="str">
        <f>'HAULING RATES- ODOT Locations'!B195</f>
        <v>Laurelville OP, 16298 Pike Street, Laurelville, OH 43135</v>
      </c>
      <c r="U790" t="str">
        <f>'HAULING RATES- ODOT Locations'!F$8</f>
        <v>Sand</v>
      </c>
      <c r="V790" s="146">
        <f>'HAULING RATES- ODOT Locations'!F195</f>
        <v>0</v>
      </c>
      <c r="W790" s="131" t="str">
        <f>+'Aggregate, Plant Pick-up'!$C$6</f>
        <v>LAFARGE-MARBLEHEAD "OSBORNE-CLEVELAND"</v>
      </c>
      <c r="X790" s="131" t="str">
        <f>+Plant_Information!$B$10</f>
        <v>04105-28</v>
      </c>
      <c r="Y790" s="131" t="str">
        <f>+Plant_Information!$B$11</f>
        <v>2100 CENTRAL FURNACE ROAD</v>
      </c>
      <c r="Z790" s="131" t="str">
        <f>+Plant_Information!$B$12</f>
        <v>CLEVELAND, OH, 44115</v>
      </c>
      <c r="AA790" s="131" t="str">
        <f>+Plant_Information!$B$13</f>
        <v>12</v>
      </c>
      <c r="AB790" s="131" t="str">
        <f>+Plant_Information!$B$14</f>
        <v>CUY</v>
      </c>
      <c r="AC790" s="70"/>
    </row>
    <row r="791" spans="17:29" x14ac:dyDescent="0.2">
      <c r="Q791" t="str">
        <f>Plant_Information!$B$6</f>
        <v>(INSERT VENDOR NAME HERE)</v>
      </c>
      <c r="R791" t="str">
        <f>'HAULING RATES- ODOT Locations'!$A$188</f>
        <v>District 10</v>
      </c>
      <c r="S791" t="str">
        <f>'HAULING RATES- ODOT Locations'!A196</f>
        <v>Meigs</v>
      </c>
      <c r="T791" t="str">
        <f>'HAULING RATES- ODOT Locations'!B196</f>
        <v>Tuppers Plains OP, 42875 State Route 7, Coolville, OH 45723</v>
      </c>
      <c r="U791" t="str">
        <f>'HAULING RATES- ODOT Locations'!F$8</f>
        <v>Sand</v>
      </c>
      <c r="V791" s="146">
        <f>'HAULING RATES- ODOT Locations'!F196</f>
        <v>0</v>
      </c>
      <c r="W791" s="131" t="str">
        <f>+'Aggregate, Plant Pick-up'!$C$6</f>
        <v>LAFARGE-MARBLEHEAD "OSBORNE-CLEVELAND"</v>
      </c>
      <c r="X791" s="131" t="str">
        <f>+Plant_Information!$B$10</f>
        <v>04105-28</v>
      </c>
      <c r="Y791" s="131" t="str">
        <f>+Plant_Information!$B$11</f>
        <v>2100 CENTRAL FURNACE ROAD</v>
      </c>
      <c r="Z791" s="131" t="str">
        <f>+Plant_Information!$B$12</f>
        <v>CLEVELAND, OH, 44115</v>
      </c>
      <c r="AA791" s="131" t="str">
        <f>+Plant_Information!$B$13</f>
        <v>12</v>
      </c>
      <c r="AB791" s="131" t="str">
        <f>+Plant_Information!$B$14</f>
        <v>CUY</v>
      </c>
      <c r="AC791" s="70"/>
    </row>
    <row r="792" spans="17:29" x14ac:dyDescent="0.2">
      <c r="Q792" t="str">
        <f>Plant_Information!$B$6</f>
        <v>(INSERT VENDOR NAME HERE)</v>
      </c>
      <c r="R792" t="str">
        <f>'HAULING RATES- ODOT Locations'!$A$188</f>
        <v>District 10</v>
      </c>
      <c r="S792" t="str">
        <f>'HAULING RATES- ODOT Locations'!A197</f>
        <v>Meigs</v>
      </c>
      <c r="T792" t="str">
        <f>'HAULING RATES- ODOT Locations'!B197</f>
        <v>34449 SR 7, Pomeroy, OH 45769</v>
      </c>
      <c r="U792" t="str">
        <f>'HAULING RATES- ODOT Locations'!F$8</f>
        <v>Sand</v>
      </c>
      <c r="V792" s="146">
        <f>'HAULING RATES- ODOT Locations'!F197</f>
        <v>0</v>
      </c>
      <c r="W792" s="131" t="str">
        <f>+'Aggregate, Plant Pick-up'!$C$6</f>
        <v>LAFARGE-MARBLEHEAD "OSBORNE-CLEVELAND"</v>
      </c>
      <c r="X792" s="131" t="str">
        <f>+Plant_Information!$B$10</f>
        <v>04105-28</v>
      </c>
      <c r="Y792" s="131" t="str">
        <f>+Plant_Information!$B$11</f>
        <v>2100 CENTRAL FURNACE ROAD</v>
      </c>
      <c r="Z792" s="131" t="str">
        <f>+Plant_Information!$B$12</f>
        <v>CLEVELAND, OH, 44115</v>
      </c>
      <c r="AA792" s="131" t="str">
        <f>+Plant_Information!$B$13</f>
        <v>12</v>
      </c>
      <c r="AB792" s="131" t="str">
        <f>+Plant_Information!$B$14</f>
        <v>CUY</v>
      </c>
      <c r="AC792" s="70"/>
    </row>
    <row r="793" spans="17:29" x14ac:dyDescent="0.2">
      <c r="Q793" t="str">
        <f>Plant_Information!$B$6</f>
        <v>(INSERT VENDOR NAME HERE)</v>
      </c>
      <c r="R793" t="str">
        <f>'HAULING RATES- ODOT Locations'!$A$188</f>
        <v>District 10</v>
      </c>
      <c r="S793" t="str">
        <f>'HAULING RATES- ODOT Locations'!A198</f>
        <v>Monroe</v>
      </c>
      <c r="T793" t="str">
        <f>'HAULING RATES- ODOT Locations'!B198</f>
        <v>38986 State Route 7, Sardis, OH 43946</v>
      </c>
      <c r="U793" t="str">
        <f>'HAULING RATES- ODOT Locations'!F$8</f>
        <v>Sand</v>
      </c>
      <c r="V793" s="146">
        <f>'HAULING RATES- ODOT Locations'!F198</f>
        <v>0</v>
      </c>
      <c r="W793" s="131" t="str">
        <f>+'Aggregate, Plant Pick-up'!$C$6</f>
        <v>LAFARGE-MARBLEHEAD "OSBORNE-CLEVELAND"</v>
      </c>
      <c r="X793" s="131" t="str">
        <f>+Plant_Information!$B$10</f>
        <v>04105-28</v>
      </c>
      <c r="Y793" s="131" t="str">
        <f>+Plant_Information!$B$11</f>
        <v>2100 CENTRAL FURNACE ROAD</v>
      </c>
      <c r="Z793" s="131" t="str">
        <f>+Plant_Information!$B$12</f>
        <v>CLEVELAND, OH, 44115</v>
      </c>
      <c r="AA793" s="131" t="str">
        <f>+Plant_Information!$B$13</f>
        <v>12</v>
      </c>
      <c r="AB793" s="131" t="str">
        <f>+Plant_Information!$B$14</f>
        <v>CUY</v>
      </c>
      <c r="AC793" s="70"/>
    </row>
    <row r="794" spans="17:29" x14ac:dyDescent="0.2">
      <c r="Q794" t="str">
        <f>Plant_Information!$B$6</f>
        <v>(INSERT VENDOR NAME HERE)</v>
      </c>
      <c r="R794" t="str">
        <f>'HAULING RATES- ODOT Locations'!$A$188</f>
        <v>District 10</v>
      </c>
      <c r="S794" t="str">
        <f>'HAULING RATES- ODOT Locations'!A199</f>
        <v>Monroe</v>
      </c>
      <c r="T794" t="str">
        <f>'HAULING RATES- ODOT Locations'!B199</f>
        <v>47028 SR 26, Woodsfield, OH 43793</v>
      </c>
      <c r="U794" t="str">
        <f>'HAULING RATES- ODOT Locations'!F$8</f>
        <v>Sand</v>
      </c>
      <c r="V794" s="146">
        <f>'HAULING RATES- ODOT Locations'!F199</f>
        <v>0</v>
      </c>
      <c r="W794" s="131" t="str">
        <f>+'Aggregate, Plant Pick-up'!$C$6</f>
        <v>LAFARGE-MARBLEHEAD "OSBORNE-CLEVELAND"</v>
      </c>
      <c r="X794" s="131" t="str">
        <f>+Plant_Information!$B$10</f>
        <v>04105-28</v>
      </c>
      <c r="Y794" s="131" t="str">
        <f>+Plant_Information!$B$11</f>
        <v>2100 CENTRAL FURNACE ROAD</v>
      </c>
      <c r="Z794" s="131" t="str">
        <f>+Plant_Information!$B$12</f>
        <v>CLEVELAND, OH, 44115</v>
      </c>
      <c r="AA794" s="131" t="str">
        <f>+Plant_Information!$B$13</f>
        <v>12</v>
      </c>
      <c r="AB794" s="131" t="str">
        <f>+Plant_Information!$B$14</f>
        <v>CUY</v>
      </c>
      <c r="AC794" s="70"/>
    </row>
    <row r="795" spans="17:29" x14ac:dyDescent="0.2">
      <c r="Q795" t="str">
        <f>Plant_Information!$B$6</f>
        <v>(INSERT VENDOR NAME HERE)</v>
      </c>
      <c r="R795" t="str">
        <f>'HAULING RATES- ODOT Locations'!$A$188</f>
        <v>District 10</v>
      </c>
      <c r="S795" t="str">
        <f>'HAULING RATES- ODOT Locations'!A200</f>
        <v>Morgan</v>
      </c>
      <c r="T795" t="str">
        <f>'HAULING RATES- ODOT Locations'!B200</f>
        <v>4205 Monastery Rd., McConnelsville, OH 43756</v>
      </c>
      <c r="U795" t="str">
        <f>'HAULING RATES- ODOT Locations'!F$8</f>
        <v>Sand</v>
      </c>
      <c r="V795" s="146">
        <f>'HAULING RATES- ODOT Locations'!F200</f>
        <v>0</v>
      </c>
      <c r="W795" s="131" t="str">
        <f>+'Aggregate, Plant Pick-up'!$C$6</f>
        <v>LAFARGE-MARBLEHEAD "OSBORNE-CLEVELAND"</v>
      </c>
      <c r="X795" s="131" t="str">
        <f>+Plant_Information!$B$10</f>
        <v>04105-28</v>
      </c>
      <c r="Y795" s="131" t="str">
        <f>+Plant_Information!$B$11</f>
        <v>2100 CENTRAL FURNACE ROAD</v>
      </c>
      <c r="Z795" s="131" t="str">
        <f>+Plant_Information!$B$12</f>
        <v>CLEVELAND, OH, 44115</v>
      </c>
      <c r="AA795" s="131" t="str">
        <f>+Plant_Information!$B$13</f>
        <v>12</v>
      </c>
      <c r="AB795" s="131" t="str">
        <f>+Plant_Information!$B$14</f>
        <v>CUY</v>
      </c>
      <c r="AC795" s="70"/>
    </row>
    <row r="796" spans="17:29" x14ac:dyDescent="0.2">
      <c r="Q796" t="str">
        <f>Plant_Information!$B$6</f>
        <v>(INSERT VENDOR NAME HERE)</v>
      </c>
      <c r="R796" t="str">
        <f>'HAULING RATES- ODOT Locations'!$A$188</f>
        <v>District 10</v>
      </c>
      <c r="S796" t="str">
        <f>'HAULING RATES- ODOT Locations'!A201</f>
        <v>Noble</v>
      </c>
      <c r="T796" t="str">
        <f>'HAULING RATES- ODOT Locations'!B201</f>
        <v>17229 Hunkadora Road, Caldwell, OH 43724</v>
      </c>
      <c r="U796" t="str">
        <f>'HAULING RATES- ODOT Locations'!F$8</f>
        <v>Sand</v>
      </c>
      <c r="V796" s="146">
        <f>'HAULING RATES- ODOT Locations'!F201</f>
        <v>0</v>
      </c>
      <c r="W796" s="131" t="str">
        <f>+'Aggregate, Plant Pick-up'!$C$6</f>
        <v>LAFARGE-MARBLEHEAD "OSBORNE-CLEVELAND"</v>
      </c>
      <c r="X796" s="131" t="str">
        <f>+Plant_Information!$B$10</f>
        <v>04105-28</v>
      </c>
      <c r="Y796" s="131" t="str">
        <f>+Plant_Information!$B$11</f>
        <v>2100 CENTRAL FURNACE ROAD</v>
      </c>
      <c r="Z796" s="131" t="str">
        <f>+Plant_Information!$B$12</f>
        <v>CLEVELAND, OH, 44115</v>
      </c>
      <c r="AA796" s="131" t="str">
        <f>+Plant_Information!$B$13</f>
        <v>12</v>
      </c>
      <c r="AB796" s="131" t="str">
        <f>+Plant_Information!$B$14</f>
        <v>CUY</v>
      </c>
      <c r="AC796" s="70"/>
    </row>
    <row r="797" spans="17:29" x14ac:dyDescent="0.2">
      <c r="Q797" t="str">
        <f>Plant_Information!$B$6</f>
        <v>(INSERT VENDOR NAME HERE)</v>
      </c>
      <c r="R797" t="str">
        <f>'HAULING RATES- ODOT Locations'!$A$188</f>
        <v>District 10</v>
      </c>
      <c r="S797" t="str">
        <f>'HAULING RATES- ODOT Locations'!A202</f>
        <v>Noble</v>
      </c>
      <c r="T797" t="str">
        <f>'HAULING RATES- ODOT Locations'!B202</f>
        <v>48030 Outpost Road, Caldwell, OH 43724</v>
      </c>
      <c r="U797" t="str">
        <f>'HAULING RATES- ODOT Locations'!F$8</f>
        <v>Sand</v>
      </c>
      <c r="V797" s="146">
        <f>'HAULING RATES- ODOT Locations'!F202</f>
        <v>0</v>
      </c>
      <c r="W797" s="131" t="str">
        <f>+'Aggregate, Plant Pick-up'!$C$6</f>
        <v>LAFARGE-MARBLEHEAD "OSBORNE-CLEVELAND"</v>
      </c>
      <c r="X797" s="131" t="str">
        <f>+Plant_Information!$B$10</f>
        <v>04105-28</v>
      </c>
      <c r="Y797" s="131" t="str">
        <f>+Plant_Information!$B$11</f>
        <v>2100 CENTRAL FURNACE ROAD</v>
      </c>
      <c r="Z797" s="131" t="str">
        <f>+Plant_Information!$B$12</f>
        <v>CLEVELAND, OH, 44115</v>
      </c>
      <c r="AA797" s="131" t="str">
        <f>+Plant_Information!$B$13</f>
        <v>12</v>
      </c>
      <c r="AB797" s="131" t="str">
        <f>+Plant_Information!$B$14</f>
        <v>CUY</v>
      </c>
      <c r="AC797" s="70"/>
    </row>
    <row r="798" spans="17:29" x14ac:dyDescent="0.2">
      <c r="Q798" t="str">
        <f>Plant_Information!$B$6</f>
        <v>(INSERT VENDOR NAME HERE)</v>
      </c>
      <c r="R798" t="str">
        <f>'HAULING RATES- ODOT Locations'!$A$188</f>
        <v>District 10</v>
      </c>
      <c r="S798" t="str">
        <f>'HAULING RATES- ODOT Locations'!A203</f>
        <v>Vinton</v>
      </c>
      <c r="T798" t="str">
        <f>'HAULING RATES- ODOT Locations'!B203</f>
        <v>30931 State Route 93, McArthur, OH 45651</v>
      </c>
      <c r="U798" t="str">
        <f>'HAULING RATES- ODOT Locations'!F$8</f>
        <v>Sand</v>
      </c>
      <c r="V798" s="146">
        <f>'HAULING RATES- ODOT Locations'!F203</f>
        <v>0</v>
      </c>
      <c r="W798" s="131" t="str">
        <f>+'Aggregate, Plant Pick-up'!$C$6</f>
        <v>LAFARGE-MARBLEHEAD "OSBORNE-CLEVELAND"</v>
      </c>
      <c r="X798" s="131" t="str">
        <f>+Plant_Information!$B$10</f>
        <v>04105-28</v>
      </c>
      <c r="Y798" s="131" t="str">
        <f>+Plant_Information!$B$11</f>
        <v>2100 CENTRAL FURNACE ROAD</v>
      </c>
      <c r="Z798" s="131" t="str">
        <f>+Plant_Information!$B$12</f>
        <v>CLEVELAND, OH, 44115</v>
      </c>
      <c r="AA798" s="131" t="str">
        <f>+Plant_Information!$B$13</f>
        <v>12</v>
      </c>
      <c r="AB798" s="131" t="str">
        <f>+Plant_Information!$B$14</f>
        <v>CUY</v>
      </c>
      <c r="AC798" s="70"/>
    </row>
    <row r="799" spans="17:29" x14ac:dyDescent="0.2">
      <c r="Q799" t="str">
        <f>Plant_Information!$B$6</f>
        <v>(INSERT VENDOR NAME HERE)</v>
      </c>
      <c r="R799" t="str">
        <f>'HAULING RATES- ODOT Locations'!$A$188</f>
        <v>District 10</v>
      </c>
      <c r="S799" t="str">
        <f>'HAULING RATES- ODOT Locations'!A204</f>
        <v>Vinton</v>
      </c>
      <c r="T799" t="str">
        <f>'HAULING RATES- ODOT Locations'!B204</f>
        <v>43140 State Route 160, Wilkesville, OH 45695</v>
      </c>
      <c r="U799" t="str">
        <f>'HAULING RATES- ODOT Locations'!F$8</f>
        <v>Sand</v>
      </c>
      <c r="V799" s="146">
        <f>'HAULING RATES- ODOT Locations'!F204</f>
        <v>0</v>
      </c>
      <c r="W799" s="131" t="str">
        <f>+'Aggregate, Plant Pick-up'!$C$6</f>
        <v>LAFARGE-MARBLEHEAD "OSBORNE-CLEVELAND"</v>
      </c>
      <c r="X799" s="131" t="str">
        <f>+Plant_Information!$B$10</f>
        <v>04105-28</v>
      </c>
      <c r="Y799" s="131" t="str">
        <f>+Plant_Information!$B$11</f>
        <v>2100 CENTRAL FURNACE ROAD</v>
      </c>
      <c r="Z799" s="131" t="str">
        <f>+Plant_Information!$B$12</f>
        <v>CLEVELAND, OH, 44115</v>
      </c>
      <c r="AA799" s="131" t="str">
        <f>+Plant_Information!$B$13</f>
        <v>12</v>
      </c>
      <c r="AB799" s="131" t="str">
        <f>+Plant_Information!$B$14</f>
        <v>CUY</v>
      </c>
      <c r="AC799" s="70"/>
    </row>
    <row r="800" spans="17:29" x14ac:dyDescent="0.2">
      <c r="Q800" t="str">
        <f>Plant_Information!$B$6</f>
        <v>(INSERT VENDOR NAME HERE)</v>
      </c>
      <c r="R800" t="str">
        <f>'HAULING RATES- ODOT Locations'!$A$188</f>
        <v>District 10</v>
      </c>
      <c r="S800" t="str">
        <f>'HAULING RATES- ODOT Locations'!A205</f>
        <v>Washington</v>
      </c>
      <c r="T800" t="str">
        <f>'HAULING RATES- ODOT Locations'!B205</f>
        <v>1650 Greene St. (SR 26), Marietta, OH 45750</v>
      </c>
      <c r="U800" t="str">
        <f>'HAULING RATES- ODOT Locations'!F$8</f>
        <v>Sand</v>
      </c>
      <c r="V800" s="146">
        <f>'HAULING RATES- ODOT Locations'!F205</f>
        <v>0</v>
      </c>
      <c r="W800" s="131" t="str">
        <f>+'Aggregate, Plant Pick-up'!$C$6</f>
        <v>LAFARGE-MARBLEHEAD "OSBORNE-CLEVELAND"</v>
      </c>
      <c r="X800" s="131" t="str">
        <f>+Plant_Information!$B$10</f>
        <v>04105-28</v>
      </c>
      <c r="Y800" s="131" t="str">
        <f>+Plant_Information!$B$11</f>
        <v>2100 CENTRAL FURNACE ROAD</v>
      </c>
      <c r="Z800" s="131" t="str">
        <f>+Plant_Information!$B$12</f>
        <v>CLEVELAND, OH, 44115</v>
      </c>
      <c r="AA800" s="131" t="str">
        <f>+Plant_Information!$B$13</f>
        <v>12</v>
      </c>
      <c r="AB800" s="131" t="str">
        <f>+Plant_Information!$B$14</f>
        <v>CUY</v>
      </c>
      <c r="AC800" s="70"/>
    </row>
    <row r="801" spans="17:29" x14ac:dyDescent="0.2">
      <c r="Q801" t="str">
        <f>Plant_Information!$B$6</f>
        <v>(INSERT VENDOR NAME HERE)</v>
      </c>
      <c r="R801" t="str">
        <f>'HAULING RATES- ODOT Locations'!$A$188</f>
        <v>District 10</v>
      </c>
      <c r="S801" t="str">
        <f>'HAULING RATES- ODOT Locations'!A206</f>
        <v>Washington</v>
      </c>
      <c r="T801" t="str">
        <f>'HAULING RATES- ODOT Locations'!B206</f>
        <v>2504 SR 550, Cutler, OH 45724</v>
      </c>
      <c r="U801" t="str">
        <f>'HAULING RATES- ODOT Locations'!F$8</f>
        <v>Sand</v>
      </c>
      <c r="V801" s="146">
        <f>'HAULING RATES- ODOT Locations'!F206</f>
        <v>0</v>
      </c>
      <c r="W801" s="131" t="str">
        <f>+'Aggregate, Plant Pick-up'!$C$6</f>
        <v>LAFARGE-MARBLEHEAD "OSBORNE-CLEVELAND"</v>
      </c>
      <c r="X801" s="131" t="str">
        <f>+Plant_Information!$B$10</f>
        <v>04105-28</v>
      </c>
      <c r="Y801" s="131" t="str">
        <f>+Plant_Information!$B$11</f>
        <v>2100 CENTRAL FURNACE ROAD</v>
      </c>
      <c r="Z801" s="131" t="str">
        <f>+Plant_Information!$B$12</f>
        <v>CLEVELAND, OH, 44115</v>
      </c>
      <c r="AA801" s="131" t="str">
        <f>+Plant_Information!$B$13</f>
        <v>12</v>
      </c>
      <c r="AB801" s="131" t="str">
        <f>+Plant_Information!$B$14</f>
        <v>CUY</v>
      </c>
      <c r="AC801" s="70"/>
    </row>
    <row r="802" spans="17:29" x14ac:dyDescent="0.2">
      <c r="Q802" t="str">
        <f>Plant_Information!$B$6</f>
        <v>(INSERT VENDOR NAME HERE)</v>
      </c>
      <c r="R802" t="str">
        <f>'HAULING RATES- ODOT Locations'!$A$188</f>
        <v>District 10</v>
      </c>
      <c r="S802" t="str">
        <f>'HAULING RATES- ODOT Locations'!A207</f>
        <v>Washington</v>
      </c>
      <c r="T802" t="str">
        <f>'HAULING RATES- ODOT Locations'!B207</f>
        <v>Belpre OP, 399 SR 618, Belpre, OH 45714</v>
      </c>
      <c r="U802" t="str">
        <f>'HAULING RATES- ODOT Locations'!F$8</f>
        <v>Sand</v>
      </c>
      <c r="V802" s="146">
        <f>'HAULING RATES- ODOT Locations'!F207</f>
        <v>0</v>
      </c>
      <c r="W802" s="131" t="str">
        <f>+'Aggregate, Plant Pick-up'!$C$6</f>
        <v>LAFARGE-MARBLEHEAD "OSBORNE-CLEVELAND"</v>
      </c>
      <c r="X802" s="131" t="str">
        <f>+Plant_Information!$B$10</f>
        <v>04105-28</v>
      </c>
      <c r="Y802" s="131" t="str">
        <f>+Plant_Information!$B$11</f>
        <v>2100 CENTRAL FURNACE ROAD</v>
      </c>
      <c r="Z802" s="131" t="str">
        <f>+Plant_Information!$B$12</f>
        <v>CLEVELAND, OH, 44115</v>
      </c>
      <c r="AA802" s="131" t="str">
        <f>+Plant_Information!$B$13</f>
        <v>12</v>
      </c>
      <c r="AB802" s="131" t="str">
        <f>+Plant_Information!$B$14</f>
        <v>CUY</v>
      </c>
      <c r="AC802" s="70"/>
    </row>
    <row r="803" spans="17:29" x14ac:dyDescent="0.2">
      <c r="Q803" t="str">
        <f>Plant_Information!$B$6</f>
        <v>(INSERT VENDOR NAME HERE)</v>
      </c>
      <c r="R803" t="str">
        <f>'HAULING RATES- ODOT Locations'!$A$188</f>
        <v>District 10</v>
      </c>
      <c r="S803" t="str">
        <f>'HAULING RATES- ODOT Locations'!A208</f>
        <v>Washington</v>
      </c>
      <c r="T803" t="str">
        <f>'HAULING RATES- ODOT Locations'!B208</f>
        <v>20255 State Route 821, Dexter City, OH 45727</v>
      </c>
      <c r="U803" t="str">
        <f>'HAULING RATES- ODOT Locations'!F$8</f>
        <v>Sand</v>
      </c>
      <c r="V803" s="146">
        <f>'HAULING RATES- ODOT Locations'!F208</f>
        <v>0</v>
      </c>
      <c r="W803" s="131" t="str">
        <f>+'Aggregate, Plant Pick-up'!$C$6</f>
        <v>LAFARGE-MARBLEHEAD "OSBORNE-CLEVELAND"</v>
      </c>
      <c r="X803" s="131" t="str">
        <f>+Plant_Information!$B$10</f>
        <v>04105-28</v>
      </c>
      <c r="Y803" s="131" t="str">
        <f>+Plant_Information!$B$11</f>
        <v>2100 CENTRAL FURNACE ROAD</v>
      </c>
      <c r="Z803" s="131" t="str">
        <f>+Plant_Information!$B$12</f>
        <v>CLEVELAND, OH, 44115</v>
      </c>
      <c r="AA803" s="131" t="str">
        <f>+Plant_Information!$B$13</f>
        <v>12</v>
      </c>
      <c r="AB803" s="131" t="str">
        <f>+Plant_Information!$B$14</f>
        <v>CUY</v>
      </c>
      <c r="AC803" s="70"/>
    </row>
    <row r="804" spans="17:29" x14ac:dyDescent="0.2">
      <c r="Q804" t="str">
        <f>Plant_Information!$B$6</f>
        <v>(INSERT VENDOR NAME HERE)</v>
      </c>
      <c r="R804" t="str">
        <f>'HAULING RATES- ODOT Locations'!$A$209</f>
        <v>District 11</v>
      </c>
      <c r="S804" t="str">
        <f>'HAULING RATES- ODOT Locations'!A212</f>
        <v>Belmont</v>
      </c>
      <c r="T804" t="str">
        <f>'HAULING RATES- ODOT Locations'!B212</f>
        <v>41061 Bond Dr., Belmont, OH 43718</v>
      </c>
      <c r="U804" t="str">
        <f>'HAULING RATES- ODOT Locations'!F$8</f>
        <v>Sand</v>
      </c>
      <c r="V804" s="146">
        <f>'HAULING RATES- ODOT Locations'!F212</f>
        <v>0</v>
      </c>
      <c r="W804" s="131" t="str">
        <f>+'Aggregate, Plant Pick-up'!$C$6</f>
        <v>LAFARGE-MARBLEHEAD "OSBORNE-CLEVELAND"</v>
      </c>
      <c r="X804" s="131" t="str">
        <f>+Plant_Information!$B$10</f>
        <v>04105-28</v>
      </c>
      <c r="Y804" s="131" t="str">
        <f>+Plant_Information!$B$11</f>
        <v>2100 CENTRAL FURNACE ROAD</v>
      </c>
      <c r="Z804" s="131" t="str">
        <f>+Plant_Information!$B$12</f>
        <v>CLEVELAND, OH, 44115</v>
      </c>
      <c r="AA804" s="131" t="str">
        <f>+Plant_Information!$B$13</f>
        <v>12</v>
      </c>
      <c r="AB804" s="131" t="str">
        <f>+Plant_Information!$B$14</f>
        <v>CUY</v>
      </c>
      <c r="AC804" s="70"/>
    </row>
    <row r="805" spans="17:29" x14ac:dyDescent="0.2">
      <c r="Q805" t="str">
        <f>Plant_Information!$B$6</f>
        <v>(INSERT VENDOR NAME HERE)</v>
      </c>
      <c r="R805" t="str">
        <f>'HAULING RATES- ODOT Locations'!$A$209</f>
        <v>District 11</v>
      </c>
      <c r="S805" t="str">
        <f>'HAULING RATES- ODOT Locations'!A213</f>
        <v>Belmont</v>
      </c>
      <c r="T805" t="str">
        <f>'HAULING RATES- ODOT Locations'!B213</f>
        <v>49226 Wabash Ave., St. Clairsville, OH 43950</v>
      </c>
      <c r="U805" t="str">
        <f>'HAULING RATES- ODOT Locations'!F$8</f>
        <v>Sand</v>
      </c>
      <c r="V805" s="146">
        <f>'HAULING RATES- ODOT Locations'!F213</f>
        <v>0</v>
      </c>
      <c r="W805" s="131" t="str">
        <f>+'Aggregate, Plant Pick-up'!$C$6</f>
        <v>LAFARGE-MARBLEHEAD "OSBORNE-CLEVELAND"</v>
      </c>
      <c r="X805" s="131" t="str">
        <f>+Plant_Information!$B$10</f>
        <v>04105-28</v>
      </c>
      <c r="Y805" s="131" t="str">
        <f>+Plant_Information!$B$11</f>
        <v>2100 CENTRAL FURNACE ROAD</v>
      </c>
      <c r="Z805" s="131" t="str">
        <f>+Plant_Information!$B$12</f>
        <v>CLEVELAND, OH, 44115</v>
      </c>
      <c r="AA805" s="131" t="str">
        <f>+Plant_Information!$B$13</f>
        <v>12</v>
      </c>
      <c r="AB805" s="131" t="str">
        <f>+Plant_Information!$B$14</f>
        <v>CUY</v>
      </c>
      <c r="AC805" s="70"/>
    </row>
    <row r="806" spans="17:29" x14ac:dyDescent="0.2">
      <c r="Q806" t="str">
        <f>Plant_Information!$B$6</f>
        <v>(INSERT VENDOR NAME HERE)</v>
      </c>
      <c r="R806" t="str">
        <f>'HAULING RATES- ODOT Locations'!$A$209</f>
        <v>District 11</v>
      </c>
      <c r="S806" t="str">
        <f>'HAULING RATES- ODOT Locations'!A214</f>
        <v>Belmont</v>
      </c>
      <c r="T806" t="str">
        <f>'HAULING RATES- ODOT Locations'!B214</f>
        <v>36340 W. Captina Hwy., Barnesville, OH 43713</v>
      </c>
      <c r="U806" t="str">
        <f>'HAULING RATES- ODOT Locations'!F$8</f>
        <v>Sand</v>
      </c>
      <c r="V806" s="146">
        <f>'HAULING RATES- ODOT Locations'!F214</f>
        <v>0</v>
      </c>
      <c r="W806" s="131" t="str">
        <f>+'Aggregate, Plant Pick-up'!$C$6</f>
        <v>LAFARGE-MARBLEHEAD "OSBORNE-CLEVELAND"</v>
      </c>
      <c r="X806" s="131" t="str">
        <f>+Plant_Information!$B$10</f>
        <v>04105-28</v>
      </c>
      <c r="Y806" s="131" t="str">
        <f>+Plant_Information!$B$11</f>
        <v>2100 CENTRAL FURNACE ROAD</v>
      </c>
      <c r="Z806" s="131" t="str">
        <f>+Plant_Information!$B$12</f>
        <v>CLEVELAND, OH, 44115</v>
      </c>
      <c r="AA806" s="131" t="str">
        <f>+Plant_Information!$B$13</f>
        <v>12</v>
      </c>
      <c r="AB806" s="131" t="str">
        <f>+Plant_Information!$B$14</f>
        <v>CUY</v>
      </c>
      <c r="AC806" s="70"/>
    </row>
    <row r="807" spans="17:29" x14ac:dyDescent="0.2">
      <c r="Q807" t="str">
        <f>Plant_Information!$B$6</f>
        <v>(INSERT VENDOR NAME HERE)</v>
      </c>
      <c r="R807" t="str">
        <f>'HAULING RATES- ODOT Locations'!$A$209</f>
        <v>District 11</v>
      </c>
      <c r="S807" t="str">
        <f>'HAULING RATES- ODOT Locations'!A215</f>
        <v>Belmont</v>
      </c>
      <c r="T807" t="str">
        <f>'HAULING RATES- ODOT Locations'!B215</f>
        <v>56880 McGee Rd., Shadyside, OH 43947</v>
      </c>
      <c r="U807" t="str">
        <f>'HAULING RATES- ODOT Locations'!F$8</f>
        <v>Sand</v>
      </c>
      <c r="V807" s="146">
        <f>'HAULING RATES- ODOT Locations'!F215</f>
        <v>0</v>
      </c>
      <c r="W807" s="131" t="str">
        <f>+'Aggregate, Plant Pick-up'!$C$6</f>
        <v>LAFARGE-MARBLEHEAD "OSBORNE-CLEVELAND"</v>
      </c>
      <c r="X807" s="131" t="str">
        <f>+Plant_Information!$B$10</f>
        <v>04105-28</v>
      </c>
      <c r="Y807" s="131" t="str">
        <f>+Plant_Information!$B$11</f>
        <v>2100 CENTRAL FURNACE ROAD</v>
      </c>
      <c r="Z807" s="131" t="str">
        <f>+Plant_Information!$B$12</f>
        <v>CLEVELAND, OH, 44115</v>
      </c>
      <c r="AA807" s="131" t="str">
        <f>+Plant_Information!$B$13</f>
        <v>12</v>
      </c>
      <c r="AB807" s="131" t="str">
        <f>+Plant_Information!$B$14</f>
        <v>CUY</v>
      </c>
      <c r="AC807" s="70"/>
    </row>
    <row r="808" spans="17:29" x14ac:dyDescent="0.2">
      <c r="Q808" t="str">
        <f>Plant_Information!$B$6</f>
        <v>(INSERT VENDOR NAME HERE)</v>
      </c>
      <c r="R808" t="str">
        <f>'HAULING RATES- ODOT Locations'!$A$209</f>
        <v>District 11</v>
      </c>
      <c r="S808" t="str">
        <f>'HAULING RATES- ODOT Locations'!A216</f>
        <v>Carroll</v>
      </c>
      <c r="T808" t="str">
        <f>'HAULING RATES- ODOT Locations'!B216</f>
        <v>258 Kensington Rd., Carrollton, OH 44615</v>
      </c>
      <c r="U808" t="str">
        <f>'HAULING RATES- ODOT Locations'!F$8</f>
        <v>Sand</v>
      </c>
      <c r="V808" s="146">
        <f>'HAULING RATES- ODOT Locations'!F216</f>
        <v>0</v>
      </c>
      <c r="W808" s="131" t="str">
        <f>+'Aggregate, Plant Pick-up'!$C$6</f>
        <v>LAFARGE-MARBLEHEAD "OSBORNE-CLEVELAND"</v>
      </c>
      <c r="X808" s="131" t="str">
        <f>+Plant_Information!$B$10</f>
        <v>04105-28</v>
      </c>
      <c r="Y808" s="131" t="str">
        <f>+Plant_Information!$B$11</f>
        <v>2100 CENTRAL FURNACE ROAD</v>
      </c>
      <c r="Z808" s="131" t="str">
        <f>+Plant_Information!$B$12</f>
        <v>CLEVELAND, OH, 44115</v>
      </c>
      <c r="AA808" s="131" t="str">
        <f>+Plant_Information!$B$13</f>
        <v>12</v>
      </c>
      <c r="AB808" s="131" t="str">
        <f>+Plant_Information!$B$14</f>
        <v>CUY</v>
      </c>
      <c r="AC808" s="70"/>
    </row>
    <row r="809" spans="17:29" x14ac:dyDescent="0.2">
      <c r="Q809" t="str">
        <f>Plant_Information!$B$6</f>
        <v>(INSERT VENDOR NAME HERE)</v>
      </c>
      <c r="R809" t="str">
        <f>'HAULING RATES- ODOT Locations'!$A$209</f>
        <v>District 11</v>
      </c>
      <c r="S809" t="str">
        <f>'HAULING RATES- ODOT Locations'!A217</f>
        <v>Columbiana</v>
      </c>
      <c r="T809" t="str">
        <f>'HAULING RATES- ODOT Locations'!B217</f>
        <v>33606 US 30, Lisbon, OH 44432</v>
      </c>
      <c r="U809" t="str">
        <f>'HAULING RATES- ODOT Locations'!F$8</f>
        <v>Sand</v>
      </c>
      <c r="V809" s="146">
        <f>'HAULING RATES- ODOT Locations'!F217</f>
        <v>0</v>
      </c>
      <c r="W809" s="131" t="str">
        <f>+'Aggregate, Plant Pick-up'!$C$6</f>
        <v>LAFARGE-MARBLEHEAD "OSBORNE-CLEVELAND"</v>
      </c>
      <c r="X809" s="131" t="str">
        <f>+Plant_Information!$B$10</f>
        <v>04105-28</v>
      </c>
      <c r="Y809" s="131" t="str">
        <f>+Plant_Information!$B$11</f>
        <v>2100 CENTRAL FURNACE ROAD</v>
      </c>
      <c r="Z809" s="131" t="str">
        <f>+Plant_Information!$B$12</f>
        <v>CLEVELAND, OH, 44115</v>
      </c>
      <c r="AA809" s="131" t="str">
        <f>+Plant_Information!$B$13</f>
        <v>12</v>
      </c>
      <c r="AB809" s="131" t="str">
        <f>+Plant_Information!$B$14</f>
        <v>CUY</v>
      </c>
      <c r="AC809" s="70"/>
    </row>
    <row r="810" spans="17:29" x14ac:dyDescent="0.2">
      <c r="Q810" t="str">
        <f>Plant_Information!$B$6</f>
        <v>(INSERT VENDOR NAME HERE)</v>
      </c>
      <c r="R810" t="str">
        <f>'HAULING RATES- ODOT Locations'!$A$209</f>
        <v>District 11</v>
      </c>
      <c r="S810" t="str">
        <f>'HAULING RATES- ODOT Locations'!A218</f>
        <v>Columbiana</v>
      </c>
      <c r="T810" t="str">
        <f>'HAULING RATES- ODOT Locations'!B218</f>
        <v>Apples Corners OP, 14745 Old Lincoln Hwy.,  East Liverpool, OH 43920</v>
      </c>
      <c r="U810" t="str">
        <f>'HAULING RATES- ODOT Locations'!F$8</f>
        <v>Sand</v>
      </c>
      <c r="V810" s="146">
        <f>'HAULING RATES- ODOT Locations'!F218</f>
        <v>0</v>
      </c>
      <c r="W810" s="131" t="str">
        <f>+'Aggregate, Plant Pick-up'!$C$6</f>
        <v>LAFARGE-MARBLEHEAD "OSBORNE-CLEVELAND"</v>
      </c>
      <c r="X810" s="131" t="str">
        <f>+Plant_Information!$B$10</f>
        <v>04105-28</v>
      </c>
      <c r="Y810" s="131" t="str">
        <f>+Plant_Information!$B$11</f>
        <v>2100 CENTRAL FURNACE ROAD</v>
      </c>
      <c r="Z810" s="131" t="str">
        <f>+Plant_Information!$B$12</f>
        <v>CLEVELAND, OH, 44115</v>
      </c>
      <c r="AA810" s="131" t="str">
        <f>+Plant_Information!$B$13</f>
        <v>12</v>
      </c>
      <c r="AB810" s="131" t="str">
        <f>+Plant_Information!$B$14</f>
        <v>CUY</v>
      </c>
      <c r="AC810" s="70"/>
    </row>
    <row r="811" spans="17:29" x14ac:dyDescent="0.2">
      <c r="Q811" t="str">
        <f>Plant_Information!$B$6</f>
        <v>(INSERT VENDOR NAME HERE)</v>
      </c>
      <c r="R811" t="str">
        <f>'HAULING RATES- ODOT Locations'!$A$209</f>
        <v>District 11</v>
      </c>
      <c r="S811" t="str">
        <f>'HAULING RATES- ODOT Locations'!A219</f>
        <v>Columbiana</v>
      </c>
      <c r="T811" t="str">
        <f>'HAULING RATES- ODOT Locations'!B219</f>
        <v>Unity OP, 2099 SR 165, East Palestine, OH 44413</v>
      </c>
      <c r="U811" t="str">
        <f>'HAULING RATES- ODOT Locations'!F$8</f>
        <v>Sand</v>
      </c>
      <c r="V811" s="146">
        <f>'HAULING RATES- ODOT Locations'!F219</f>
        <v>0</v>
      </c>
      <c r="W811" s="131" t="str">
        <f>+'Aggregate, Plant Pick-up'!$C$6</f>
        <v>LAFARGE-MARBLEHEAD "OSBORNE-CLEVELAND"</v>
      </c>
      <c r="X811" s="131" t="str">
        <f>+Plant_Information!$B$10</f>
        <v>04105-28</v>
      </c>
      <c r="Y811" s="131" t="str">
        <f>+Plant_Information!$B$11</f>
        <v>2100 CENTRAL FURNACE ROAD</v>
      </c>
      <c r="Z811" s="131" t="str">
        <f>+Plant_Information!$B$12</f>
        <v>CLEVELAND, OH, 44115</v>
      </c>
      <c r="AA811" s="131" t="str">
        <f>+Plant_Information!$B$13</f>
        <v>12</v>
      </c>
      <c r="AB811" s="131" t="str">
        <f>+Plant_Information!$B$14</f>
        <v>CUY</v>
      </c>
      <c r="AC811" s="70"/>
    </row>
    <row r="812" spans="17:29" x14ac:dyDescent="0.2">
      <c r="Q812" t="str">
        <f>Plant_Information!$B$6</f>
        <v>(INSERT VENDOR NAME HERE)</v>
      </c>
      <c r="R812" t="str">
        <f>'HAULING RATES- ODOT Locations'!$A$209</f>
        <v>District 11</v>
      </c>
      <c r="S812" t="str">
        <f>'HAULING RATES- ODOT Locations'!A220</f>
        <v>Harrison</v>
      </c>
      <c r="T812" t="str">
        <f>'HAULING RATES- ODOT Locations'!B220</f>
        <v>Harrison Co. Gar., 43041 S. Industrial Park Rd.,Cadiz, OH 43907</v>
      </c>
      <c r="U812" t="str">
        <f>'HAULING RATES- ODOT Locations'!F$8</f>
        <v>Sand</v>
      </c>
      <c r="V812" s="146">
        <f>'HAULING RATES- ODOT Locations'!F220</f>
        <v>0</v>
      </c>
      <c r="W812" s="131" t="str">
        <f>+'Aggregate, Plant Pick-up'!$C$6</f>
        <v>LAFARGE-MARBLEHEAD "OSBORNE-CLEVELAND"</v>
      </c>
      <c r="X812" s="131" t="str">
        <f>+Plant_Information!$B$10</f>
        <v>04105-28</v>
      </c>
      <c r="Y812" s="131" t="str">
        <f>+Plant_Information!$B$11</f>
        <v>2100 CENTRAL FURNACE ROAD</v>
      </c>
      <c r="Z812" s="131" t="str">
        <f>+Plant_Information!$B$12</f>
        <v>CLEVELAND, OH, 44115</v>
      </c>
      <c r="AA812" s="131" t="str">
        <f>+Plant_Information!$B$13</f>
        <v>12</v>
      </c>
      <c r="AB812" s="131" t="str">
        <f>+Plant_Information!$B$14</f>
        <v>CUY</v>
      </c>
      <c r="AC812" s="70"/>
    </row>
    <row r="813" spans="17:29" x14ac:dyDescent="0.2">
      <c r="Q813" s="138" t="str">
        <f>Plant_Information!$B$6</f>
        <v>(INSERT VENDOR NAME HERE)</v>
      </c>
      <c r="R813" s="138" t="str">
        <f>'HAULING RATES- ODOT Locations'!$A$209</f>
        <v>District 11</v>
      </c>
      <c r="S813" s="138" t="str">
        <f>'HAULING RATES- ODOT Locations'!A221</f>
        <v>Harrison</v>
      </c>
      <c r="T813" s="138" t="str">
        <f>'HAULING RATES- ODOT Locations'!B221</f>
        <v>37201 Scio Bowerstown Rd, Scio OH 43988</v>
      </c>
      <c r="U813" s="138" t="str">
        <f>'HAULING RATES- ODOT Locations'!F$8</f>
        <v>Sand</v>
      </c>
      <c r="V813" s="146">
        <f>'HAULING RATES- ODOT Locations'!F221</f>
        <v>0</v>
      </c>
      <c r="W813" s="141" t="str">
        <f>+'Aggregate, Plant Pick-up'!$C$6</f>
        <v>LAFARGE-MARBLEHEAD "OSBORNE-CLEVELAND"</v>
      </c>
      <c r="X813" s="141" t="str">
        <f>+Plant_Information!$B$10</f>
        <v>04105-28</v>
      </c>
      <c r="Y813" s="141" t="str">
        <f>+Plant_Information!$B$11</f>
        <v>2100 CENTRAL FURNACE ROAD</v>
      </c>
      <c r="Z813" s="141" t="str">
        <f>+Plant_Information!$B$12</f>
        <v>CLEVELAND, OH, 44115</v>
      </c>
      <c r="AA813" s="141" t="str">
        <f>+Plant_Information!$B$13</f>
        <v>12</v>
      </c>
      <c r="AB813" s="141" t="str">
        <f>+Plant_Information!$B$14</f>
        <v>CUY</v>
      </c>
      <c r="AC813" s="70"/>
    </row>
    <row r="814" spans="17:29" x14ac:dyDescent="0.2">
      <c r="Q814" t="str">
        <f>Plant_Information!$B$6</f>
        <v>(INSERT VENDOR NAME HERE)</v>
      </c>
      <c r="R814" t="str">
        <f>'HAULING RATES- ODOT Locations'!$A$209</f>
        <v>District 11</v>
      </c>
      <c r="S814" t="str">
        <f>'HAULING RATES- ODOT Locations'!A222</f>
        <v>Harrison</v>
      </c>
      <c r="T814" t="str">
        <f>'HAULING RATES- ODOT Locations'!B222</f>
        <v>76001 Smyrna Rd., Freeport, OH 43973</v>
      </c>
      <c r="U814" t="str">
        <f>'HAULING RATES- ODOT Locations'!F$8</f>
        <v>Sand</v>
      </c>
      <c r="V814" s="146">
        <f>'HAULING RATES- ODOT Locations'!F222</f>
        <v>0</v>
      </c>
      <c r="W814" s="131" t="str">
        <f>+'Aggregate, Plant Pick-up'!$C$6</f>
        <v>LAFARGE-MARBLEHEAD "OSBORNE-CLEVELAND"</v>
      </c>
      <c r="X814" s="131" t="str">
        <f>+Plant_Information!$B$10</f>
        <v>04105-28</v>
      </c>
      <c r="Y814" s="131" t="str">
        <f>+Plant_Information!$B$11</f>
        <v>2100 CENTRAL FURNACE ROAD</v>
      </c>
      <c r="Z814" s="131" t="str">
        <f>+Plant_Information!$B$12</f>
        <v>CLEVELAND, OH, 44115</v>
      </c>
      <c r="AA814" s="131" t="str">
        <f>+Plant_Information!$B$13</f>
        <v>12</v>
      </c>
      <c r="AB814" s="131" t="str">
        <f>+Plant_Information!$B$14</f>
        <v>CUY</v>
      </c>
      <c r="AC814" s="70"/>
    </row>
    <row r="815" spans="17:29" x14ac:dyDescent="0.2">
      <c r="Q815" t="str">
        <f>Plant_Information!$B$6</f>
        <v>(INSERT VENDOR NAME HERE)</v>
      </c>
      <c r="R815" t="str">
        <f>'HAULING RATES- ODOT Locations'!$A$209</f>
        <v>District 11</v>
      </c>
      <c r="S815" t="str">
        <f>'HAULING RATES- ODOT Locations'!A223</f>
        <v>Holmes</v>
      </c>
      <c r="T815" t="str">
        <f>'HAULING RATES- ODOT Locations'!B223</f>
        <v>1800 S. Washington St., Millersburg, OH 44654</v>
      </c>
      <c r="U815" t="str">
        <f>'HAULING RATES- ODOT Locations'!F$8</f>
        <v>Sand</v>
      </c>
      <c r="V815" s="146">
        <f>'HAULING RATES- ODOT Locations'!F223</f>
        <v>0</v>
      </c>
      <c r="W815" s="131" t="str">
        <f>+'Aggregate, Plant Pick-up'!$C$6</f>
        <v>LAFARGE-MARBLEHEAD "OSBORNE-CLEVELAND"</v>
      </c>
      <c r="X815" s="131" t="str">
        <f>+Plant_Information!$B$10</f>
        <v>04105-28</v>
      </c>
      <c r="Y815" s="131" t="str">
        <f>+Plant_Information!$B$11</f>
        <v>2100 CENTRAL FURNACE ROAD</v>
      </c>
      <c r="Z815" s="131" t="str">
        <f>+Plant_Information!$B$12</f>
        <v>CLEVELAND, OH, 44115</v>
      </c>
      <c r="AA815" s="131" t="str">
        <f>+Plant_Information!$B$13</f>
        <v>12</v>
      </c>
      <c r="AB815" s="131" t="str">
        <f>+Plant_Information!$B$14</f>
        <v>CUY</v>
      </c>
      <c r="AC815" s="70"/>
    </row>
    <row r="816" spans="17:29" x14ac:dyDescent="0.2">
      <c r="Q816" t="str">
        <f>Plant_Information!$B$6</f>
        <v>(INSERT VENDOR NAME HERE)</v>
      </c>
      <c r="R816" t="str">
        <f>'HAULING RATES- ODOT Locations'!$A$209</f>
        <v>District 11</v>
      </c>
      <c r="S816" t="str">
        <f>'HAULING RATES- ODOT Locations'!A224</f>
        <v>Holmes</v>
      </c>
      <c r="T816" t="str">
        <f>'HAULING RATES- ODOT Locations'!B224</f>
        <v>Nashville OP, 14785 SR 39, Lakeville, OH 44638</v>
      </c>
      <c r="U816" t="str">
        <f>'HAULING RATES- ODOT Locations'!F$8</f>
        <v>Sand</v>
      </c>
      <c r="V816" s="146">
        <f>'HAULING RATES- ODOT Locations'!F224</f>
        <v>0</v>
      </c>
      <c r="W816" s="131" t="str">
        <f>+'Aggregate, Plant Pick-up'!$C$6</f>
        <v>LAFARGE-MARBLEHEAD "OSBORNE-CLEVELAND"</v>
      </c>
      <c r="X816" s="131" t="str">
        <f>+Plant_Information!$B$10</f>
        <v>04105-28</v>
      </c>
      <c r="Y816" s="131" t="str">
        <f>+Plant_Information!$B$11</f>
        <v>2100 CENTRAL FURNACE ROAD</v>
      </c>
      <c r="Z816" s="131" t="str">
        <f>+Plant_Information!$B$12</f>
        <v>CLEVELAND, OH, 44115</v>
      </c>
      <c r="AA816" s="131" t="str">
        <f>+Plant_Information!$B$13</f>
        <v>12</v>
      </c>
      <c r="AB816" s="131" t="str">
        <f>+Plant_Information!$B$14</f>
        <v>CUY</v>
      </c>
      <c r="AC816" s="70"/>
    </row>
    <row r="817" spans="17:29" x14ac:dyDescent="0.2">
      <c r="Q817" t="str">
        <f>Plant_Information!$B$6</f>
        <v>(INSERT VENDOR NAME HERE)</v>
      </c>
      <c r="R817" t="str">
        <f>'HAULING RATES- ODOT Locations'!$A$209</f>
        <v>District 11</v>
      </c>
      <c r="S817" t="str">
        <f>'HAULING RATES- ODOT Locations'!A225</f>
        <v>Jefferson</v>
      </c>
      <c r="T817" t="str">
        <f>'HAULING RATES- ODOT Locations'!B225</f>
        <v>575 CR 43, Steubenville, OH 43952</v>
      </c>
      <c r="U817" t="str">
        <f>'HAULING RATES- ODOT Locations'!F$8</f>
        <v>Sand</v>
      </c>
      <c r="V817" s="146">
        <f>'HAULING RATES- ODOT Locations'!F225</f>
        <v>0</v>
      </c>
      <c r="W817" s="131" t="str">
        <f>+'Aggregate, Plant Pick-up'!$C$6</f>
        <v>LAFARGE-MARBLEHEAD "OSBORNE-CLEVELAND"</v>
      </c>
      <c r="X817" s="131" t="str">
        <f>+Plant_Information!$B$10</f>
        <v>04105-28</v>
      </c>
      <c r="Y817" s="131" t="str">
        <f>+Plant_Information!$B$11</f>
        <v>2100 CENTRAL FURNACE ROAD</v>
      </c>
      <c r="Z817" s="131" t="str">
        <f>+Plant_Information!$B$12</f>
        <v>CLEVELAND, OH, 44115</v>
      </c>
      <c r="AA817" s="131" t="str">
        <f>+Plant_Information!$B$13</f>
        <v>12</v>
      </c>
      <c r="AB817" s="131" t="str">
        <f>+Plant_Information!$B$14</f>
        <v>CUY</v>
      </c>
      <c r="AC817" s="70"/>
    </row>
    <row r="818" spans="17:29" x14ac:dyDescent="0.2">
      <c r="Q818" t="str">
        <f>Plant_Information!$B$6</f>
        <v>(INSERT VENDOR NAME HERE)</v>
      </c>
      <c r="R818" t="str">
        <f>'HAULING RATES- ODOT Locations'!$A$209</f>
        <v>District 11</v>
      </c>
      <c r="S818" t="str">
        <f>'HAULING RATES- ODOT Locations'!A226</f>
        <v>Jefferson</v>
      </c>
      <c r="T818" t="str">
        <f>'HAULING RATES- ODOT Locations'!B226</f>
        <v>940 Kingsdale Rd., Steubenville, OH 43952</v>
      </c>
      <c r="U818" t="str">
        <f>'HAULING RATES- ODOT Locations'!F$8</f>
        <v>Sand</v>
      </c>
      <c r="V818" s="146">
        <f>'HAULING RATES- ODOT Locations'!F226</f>
        <v>0</v>
      </c>
      <c r="W818" s="131" t="str">
        <f>+'Aggregate, Plant Pick-up'!$C$6</f>
        <v>LAFARGE-MARBLEHEAD "OSBORNE-CLEVELAND"</v>
      </c>
      <c r="X818" s="131" t="str">
        <f>+Plant_Information!$B$10</f>
        <v>04105-28</v>
      </c>
      <c r="Y818" s="131" t="str">
        <f>+Plant_Information!$B$11</f>
        <v>2100 CENTRAL FURNACE ROAD</v>
      </c>
      <c r="Z818" s="131" t="str">
        <f>+Plant_Information!$B$12</f>
        <v>CLEVELAND, OH, 44115</v>
      </c>
      <c r="AA818" s="131" t="str">
        <f>+Plant_Information!$B$13</f>
        <v>12</v>
      </c>
      <c r="AB818" s="131" t="str">
        <f>+Plant_Information!$B$14</f>
        <v>CUY</v>
      </c>
      <c r="AC818" s="70"/>
    </row>
    <row r="819" spans="17:29" x14ac:dyDescent="0.2">
      <c r="Q819" t="str">
        <f>Plant_Information!$B$6</f>
        <v>(INSERT VENDOR NAME HERE)</v>
      </c>
      <c r="R819" t="str">
        <f>'HAULING RATES- ODOT Locations'!$A$209</f>
        <v>District 11</v>
      </c>
      <c r="S819" t="str">
        <f>'HAULING RATES- ODOT Locations'!A227</f>
        <v>Jefferson</v>
      </c>
      <c r="T819" t="str">
        <f>'HAULING RATES- ODOT Locations'!B227</f>
        <v>4735 State Rt. 150, Dillonvale, OH 43917</v>
      </c>
      <c r="U819" t="str">
        <f>'HAULING RATES- ODOT Locations'!F$8</f>
        <v>Sand</v>
      </c>
      <c r="V819" s="146">
        <f>'HAULING RATES- ODOT Locations'!F227</f>
        <v>0</v>
      </c>
      <c r="W819" s="131" t="str">
        <f>+'Aggregate, Plant Pick-up'!$C$6</f>
        <v>LAFARGE-MARBLEHEAD "OSBORNE-CLEVELAND"</v>
      </c>
      <c r="X819" s="131" t="str">
        <f>+Plant_Information!$B$10</f>
        <v>04105-28</v>
      </c>
      <c r="Y819" s="131" t="str">
        <f>+Plant_Information!$B$11</f>
        <v>2100 CENTRAL FURNACE ROAD</v>
      </c>
      <c r="Z819" s="131" t="str">
        <f>+Plant_Information!$B$12</f>
        <v>CLEVELAND, OH, 44115</v>
      </c>
      <c r="AA819" s="131" t="str">
        <f>+Plant_Information!$B$13</f>
        <v>12</v>
      </c>
      <c r="AB819" s="131" t="str">
        <f>+Plant_Information!$B$14</f>
        <v>CUY</v>
      </c>
      <c r="AC819" s="70"/>
    </row>
    <row r="820" spans="17:29" x14ac:dyDescent="0.2">
      <c r="Q820" t="str">
        <f>Plant_Information!$B$6</f>
        <v>(INSERT VENDOR NAME HERE)</v>
      </c>
      <c r="R820" t="str">
        <f>'HAULING RATES- ODOT Locations'!$A$209</f>
        <v>District 11</v>
      </c>
      <c r="S820" t="str">
        <f>'HAULING RATES- ODOT Locations'!A228</f>
        <v>Jefferson</v>
      </c>
      <c r="T820" t="str">
        <f>'HAULING RATES- ODOT Locations'!B228</f>
        <v>7876 State Rt. 164, Bergholz, OH 43908</v>
      </c>
      <c r="U820" t="str">
        <f>'HAULING RATES- ODOT Locations'!F$8</f>
        <v>Sand</v>
      </c>
      <c r="V820" s="146">
        <f>'HAULING RATES- ODOT Locations'!F228</f>
        <v>0</v>
      </c>
      <c r="W820" s="131" t="str">
        <f>+'Aggregate, Plant Pick-up'!$C$6</f>
        <v>LAFARGE-MARBLEHEAD "OSBORNE-CLEVELAND"</v>
      </c>
      <c r="X820" s="131" t="str">
        <f>+Plant_Information!$B$10</f>
        <v>04105-28</v>
      </c>
      <c r="Y820" s="131" t="str">
        <f>+Plant_Information!$B$11</f>
        <v>2100 CENTRAL FURNACE ROAD</v>
      </c>
      <c r="Z820" s="131" t="str">
        <f>+Plant_Information!$B$12</f>
        <v>CLEVELAND, OH, 44115</v>
      </c>
      <c r="AA820" s="131" t="str">
        <f>+Plant_Information!$B$13</f>
        <v>12</v>
      </c>
      <c r="AB820" s="131" t="str">
        <f>+Plant_Information!$B$14</f>
        <v>CUY</v>
      </c>
      <c r="AC820" s="70"/>
    </row>
    <row r="821" spans="17:29" x14ac:dyDescent="0.2">
      <c r="Q821" t="str">
        <f>Plant_Information!$B$6</f>
        <v>(INSERT VENDOR NAME HERE)</v>
      </c>
      <c r="R821" t="str">
        <f>'HAULING RATES- ODOT Locations'!$A$209</f>
        <v>District 11</v>
      </c>
      <c r="S821" t="str">
        <f>'HAULING RATES- ODOT Locations'!A229</f>
        <v>Tuscarawas</v>
      </c>
      <c r="T821" t="str">
        <f>'HAULING RATES- ODOT Locations'!B229</f>
        <v>384 Stonecreek Rd. SE, New Philadelphia, OH 44663</v>
      </c>
      <c r="U821" t="str">
        <f>'HAULING RATES- ODOT Locations'!F$8</f>
        <v>Sand</v>
      </c>
      <c r="V821" s="146">
        <f>'HAULING RATES- ODOT Locations'!F229</f>
        <v>0</v>
      </c>
      <c r="W821" s="131" t="str">
        <f>+'Aggregate, Plant Pick-up'!$C$6</f>
        <v>LAFARGE-MARBLEHEAD "OSBORNE-CLEVELAND"</v>
      </c>
      <c r="X821" s="131" t="str">
        <f>+Plant_Information!$B$10</f>
        <v>04105-28</v>
      </c>
      <c r="Y821" s="131" t="str">
        <f>+Plant_Information!$B$11</f>
        <v>2100 CENTRAL FURNACE ROAD</v>
      </c>
      <c r="Z821" s="131" t="str">
        <f>+Plant_Information!$B$12</f>
        <v>CLEVELAND, OH, 44115</v>
      </c>
      <c r="AA821" s="131" t="str">
        <f>+Plant_Information!$B$13</f>
        <v>12</v>
      </c>
      <c r="AB821" s="131" t="str">
        <f>+Plant_Information!$B$14</f>
        <v>CUY</v>
      </c>
      <c r="AC821" s="70"/>
    </row>
    <row r="822" spans="17:29" x14ac:dyDescent="0.2">
      <c r="Q822" t="str">
        <f>Plant_Information!$B$6</f>
        <v>(INSERT VENDOR NAME HERE)</v>
      </c>
      <c r="R822" t="str">
        <f>'HAULING RATES- ODOT Locations'!$A$209</f>
        <v>District 11</v>
      </c>
      <c r="S822" t="str">
        <f>'HAULING RATES- ODOT Locations'!A230</f>
        <v>Tuscarawas</v>
      </c>
      <c r="T822" t="str">
        <f>'HAULING RATES- ODOT Locations'!B230</f>
        <v>1763 Dover-Zoar Rd., Bolivar, OH 44612</v>
      </c>
      <c r="U822" t="str">
        <f>'HAULING RATES- ODOT Locations'!F$8</f>
        <v>Sand</v>
      </c>
      <c r="V822" s="146">
        <f>'HAULING RATES- ODOT Locations'!F230</f>
        <v>0</v>
      </c>
      <c r="W822" s="131" t="str">
        <f>+'Aggregate, Plant Pick-up'!$C$6</f>
        <v>LAFARGE-MARBLEHEAD "OSBORNE-CLEVELAND"</v>
      </c>
      <c r="X822" s="131" t="str">
        <f>+Plant_Information!$B$10</f>
        <v>04105-28</v>
      </c>
      <c r="Y822" s="131" t="str">
        <f>+Plant_Information!$B$11</f>
        <v>2100 CENTRAL FURNACE ROAD</v>
      </c>
      <c r="Z822" s="131" t="str">
        <f>+Plant_Information!$B$12</f>
        <v>CLEVELAND, OH, 44115</v>
      </c>
      <c r="AA822" s="131" t="str">
        <f>+Plant_Information!$B$13</f>
        <v>12</v>
      </c>
      <c r="AB822" s="131" t="str">
        <f>+Plant_Information!$B$14</f>
        <v>CUY</v>
      </c>
      <c r="AC822" s="70"/>
    </row>
    <row r="823" spans="17:29" x14ac:dyDescent="0.2">
      <c r="Q823" t="str">
        <f>Plant_Information!$B$6</f>
        <v>(INSERT VENDOR NAME HERE)</v>
      </c>
      <c r="R823" t="str">
        <f>'HAULING RATES- ODOT Locations'!$A$209</f>
        <v>District 11</v>
      </c>
      <c r="S823" t="str">
        <f>'HAULING RATES- ODOT Locations'!A231</f>
        <v>Tuscarawas</v>
      </c>
      <c r="T823" t="str">
        <f>'HAULING RATES- ODOT Locations'!B231</f>
        <v>600 N. College St., Newcomerstown, OH 43832</v>
      </c>
      <c r="U823" t="str">
        <f>'HAULING RATES- ODOT Locations'!F$8</f>
        <v>Sand</v>
      </c>
      <c r="V823" s="146">
        <f>'HAULING RATES- ODOT Locations'!F231</f>
        <v>0</v>
      </c>
      <c r="W823" s="131" t="str">
        <f>+'Aggregate, Plant Pick-up'!$C$6</f>
        <v>LAFARGE-MARBLEHEAD "OSBORNE-CLEVELAND"</v>
      </c>
      <c r="X823" s="131" t="str">
        <f>+Plant_Information!$B$10</f>
        <v>04105-28</v>
      </c>
      <c r="Y823" s="131" t="str">
        <f>+Plant_Information!$B$11</f>
        <v>2100 CENTRAL FURNACE ROAD</v>
      </c>
      <c r="Z823" s="131" t="str">
        <f>+Plant_Information!$B$12</f>
        <v>CLEVELAND, OH, 44115</v>
      </c>
      <c r="AA823" s="131" t="str">
        <f>+Plant_Information!$B$13</f>
        <v>12</v>
      </c>
      <c r="AB823" s="131" t="str">
        <f>+Plant_Information!$B$14</f>
        <v>CUY</v>
      </c>
      <c r="AC823" s="70"/>
    </row>
    <row r="824" spans="17:29" x14ac:dyDescent="0.2">
      <c r="Q824" t="str">
        <f>Plant_Information!$B$6</f>
        <v>(INSERT VENDOR NAME HERE)</v>
      </c>
      <c r="R824" t="str">
        <f>'HAULING RATES- ODOT Locations'!$A$209</f>
        <v>District 11</v>
      </c>
      <c r="S824" t="str">
        <f>'HAULING RATES- ODOT Locations'!A232</f>
        <v>Tuscarawas</v>
      </c>
      <c r="T824" t="str">
        <f>'HAULING RATES- ODOT Locations'!B232</f>
        <v>2201 Reiser Ave. SE, New Philadelphia, OH 44663</v>
      </c>
      <c r="U824" t="str">
        <f>'HAULING RATES- ODOT Locations'!F$8</f>
        <v>Sand</v>
      </c>
      <c r="V824" s="146">
        <f>'HAULING RATES- ODOT Locations'!F232</f>
        <v>0</v>
      </c>
      <c r="W824" s="131" t="str">
        <f>+'Aggregate, Plant Pick-up'!$C$6</f>
        <v>LAFARGE-MARBLEHEAD "OSBORNE-CLEVELAND"</v>
      </c>
      <c r="X824" s="131" t="str">
        <f>+Plant_Information!$B$10</f>
        <v>04105-28</v>
      </c>
      <c r="Y824" s="131" t="str">
        <f>+Plant_Information!$B$11</f>
        <v>2100 CENTRAL FURNACE ROAD</v>
      </c>
      <c r="Z824" s="131" t="str">
        <f>+Plant_Information!$B$12</f>
        <v>CLEVELAND, OH, 44115</v>
      </c>
      <c r="AA824" s="131" t="str">
        <f>+Plant_Information!$B$13</f>
        <v>12</v>
      </c>
      <c r="AB824" s="131" t="str">
        <f>+Plant_Information!$B$14</f>
        <v>CUY</v>
      </c>
      <c r="AC824" s="70"/>
    </row>
    <row r="825" spans="17:29" x14ac:dyDescent="0.2">
      <c r="Q825" t="str">
        <f>Plant_Information!$B$6</f>
        <v>(INSERT VENDOR NAME HERE)</v>
      </c>
      <c r="R825" t="str">
        <f>'HAULING RATES- ODOT Locations'!$A$233</f>
        <v>District 12</v>
      </c>
      <c r="S825" t="str">
        <f>'HAULING RATES- ODOT Locations'!A236</f>
        <v>Cuyahoga</v>
      </c>
      <c r="T825" t="str">
        <f>'HAULING RATES- ODOT Locations'!B236</f>
        <v>5430 Lake Ct., Cleveland, OH 44114</v>
      </c>
      <c r="U825" t="str">
        <f>'HAULING RATES- ODOT Locations'!F$8</f>
        <v>Sand</v>
      </c>
      <c r="V825" s="146">
        <f>'HAULING RATES- ODOT Locations'!F236</f>
        <v>0</v>
      </c>
      <c r="W825" s="131" t="str">
        <f>+'Aggregate, Plant Pick-up'!$C$6</f>
        <v>LAFARGE-MARBLEHEAD "OSBORNE-CLEVELAND"</v>
      </c>
      <c r="X825" s="131" t="str">
        <f>+Plant_Information!$B$10</f>
        <v>04105-28</v>
      </c>
      <c r="Y825" s="131" t="str">
        <f>+Plant_Information!$B$11</f>
        <v>2100 CENTRAL FURNACE ROAD</v>
      </c>
      <c r="Z825" s="131" t="str">
        <f>+Plant_Information!$B$12</f>
        <v>CLEVELAND, OH, 44115</v>
      </c>
      <c r="AA825" s="131" t="str">
        <f>+Plant_Information!$B$13</f>
        <v>12</v>
      </c>
      <c r="AB825" s="131" t="str">
        <f>+Plant_Information!$B$14</f>
        <v>CUY</v>
      </c>
      <c r="AC825" s="70"/>
    </row>
    <row r="826" spans="17:29" x14ac:dyDescent="0.2">
      <c r="Q826" t="str">
        <f>Plant_Information!$B$6</f>
        <v>(INSERT VENDOR NAME HERE)</v>
      </c>
      <c r="R826" t="str">
        <f>'HAULING RATES- ODOT Locations'!$A$233</f>
        <v>District 12</v>
      </c>
      <c r="S826" t="str">
        <f>'HAULING RATES- ODOT Locations'!A237</f>
        <v>Cuyahoga</v>
      </c>
      <c r="T826" t="str">
        <f>'HAULING RATES- ODOT Locations'!B237</f>
        <v>5469 Old Brecksville Rd., Independence, OH 44131</v>
      </c>
      <c r="U826" t="str">
        <f>'HAULING RATES- ODOT Locations'!F$8</f>
        <v>Sand</v>
      </c>
      <c r="V826" s="146">
        <f>'HAULING RATES- ODOT Locations'!F237</f>
        <v>0</v>
      </c>
      <c r="W826" s="131" t="str">
        <f>+'Aggregate, Plant Pick-up'!$C$6</f>
        <v>LAFARGE-MARBLEHEAD "OSBORNE-CLEVELAND"</v>
      </c>
      <c r="X826" s="131" t="str">
        <f>+Plant_Information!$B$10</f>
        <v>04105-28</v>
      </c>
      <c r="Y826" s="131" t="str">
        <f>+Plant_Information!$B$11</f>
        <v>2100 CENTRAL FURNACE ROAD</v>
      </c>
      <c r="Z826" s="131" t="str">
        <f>+Plant_Information!$B$12</f>
        <v>CLEVELAND, OH, 44115</v>
      </c>
      <c r="AA826" s="131" t="str">
        <f>+Plant_Information!$B$13</f>
        <v>12</v>
      </c>
      <c r="AB826" s="131" t="str">
        <f>+Plant_Information!$B$14</f>
        <v>CUY</v>
      </c>
      <c r="AC826" s="70"/>
    </row>
    <row r="827" spans="17:29" x14ac:dyDescent="0.2">
      <c r="Q827" t="str">
        <f>Plant_Information!$B$6</f>
        <v>(INSERT VENDOR NAME HERE)</v>
      </c>
      <c r="R827" t="str">
        <f>'HAULING RATES- ODOT Locations'!$A$233</f>
        <v>District 12</v>
      </c>
      <c r="S827" t="str">
        <f>'HAULING RATES- ODOT Locations'!A238</f>
        <v>Cuyahoga</v>
      </c>
      <c r="T827" t="str">
        <f>'HAULING RATES- ODOT Locations'!B238</f>
        <v>25500 St. Clair Ave Euclid OH 44117</v>
      </c>
      <c r="U827" t="str">
        <f>'HAULING RATES- ODOT Locations'!F$8</f>
        <v>Sand</v>
      </c>
      <c r="V827" s="146">
        <f>'HAULING RATES- ODOT Locations'!F238</f>
        <v>0</v>
      </c>
      <c r="W827" s="131" t="str">
        <f>+'Aggregate, Plant Pick-up'!$C$6</f>
        <v>LAFARGE-MARBLEHEAD "OSBORNE-CLEVELAND"</v>
      </c>
      <c r="X827" s="131" t="str">
        <f>+Plant_Information!$B$10</f>
        <v>04105-28</v>
      </c>
      <c r="Y827" s="131" t="str">
        <f>+Plant_Information!$B$11</f>
        <v>2100 CENTRAL FURNACE ROAD</v>
      </c>
      <c r="Z827" s="131" t="str">
        <f>+Plant_Information!$B$12</f>
        <v>CLEVELAND, OH, 44115</v>
      </c>
      <c r="AA827" s="131" t="str">
        <f>+Plant_Information!$B$13</f>
        <v>12</v>
      </c>
      <c r="AB827" s="131" t="str">
        <f>+Plant_Information!$B$14</f>
        <v>CUY</v>
      </c>
      <c r="AC827" s="70"/>
    </row>
    <row r="828" spans="17:29" x14ac:dyDescent="0.2">
      <c r="Q828" t="str">
        <f>Plant_Information!$B$6</f>
        <v>(INSERT VENDOR NAME HERE)</v>
      </c>
      <c r="R828" t="str">
        <f>'HAULING RATES- ODOT Locations'!$A$233</f>
        <v>District 12</v>
      </c>
      <c r="S828" t="str">
        <f>'HAULING RATES- ODOT Locations'!A239</f>
        <v>Cuyahoga</v>
      </c>
      <c r="T828" t="str">
        <f>'HAULING RATES- ODOT Locations'!B239</f>
        <v>2151 W114th St. Cleveland OH 44102</v>
      </c>
      <c r="U828" t="str">
        <f>'HAULING RATES- ODOT Locations'!F$8</f>
        <v>Sand</v>
      </c>
      <c r="V828" s="146">
        <f>'HAULING RATES- ODOT Locations'!F239</f>
        <v>0</v>
      </c>
      <c r="W828" s="131" t="str">
        <f>+'Aggregate, Plant Pick-up'!$C$6</f>
        <v>LAFARGE-MARBLEHEAD "OSBORNE-CLEVELAND"</v>
      </c>
      <c r="X828" s="131" t="str">
        <f>+Plant_Information!$B$10</f>
        <v>04105-28</v>
      </c>
      <c r="Y828" s="131" t="str">
        <f>+Plant_Information!$B$11</f>
        <v>2100 CENTRAL FURNACE ROAD</v>
      </c>
      <c r="Z828" s="131" t="str">
        <f>+Plant_Information!$B$12</f>
        <v>CLEVELAND, OH, 44115</v>
      </c>
      <c r="AA828" s="131" t="str">
        <f>+Plant_Information!$B$13</f>
        <v>12</v>
      </c>
      <c r="AB828" s="131" t="str">
        <f>+Plant_Information!$B$14</f>
        <v>CUY</v>
      </c>
      <c r="AC828" s="70"/>
    </row>
    <row r="829" spans="17:29" x14ac:dyDescent="0.2">
      <c r="Q829" t="str">
        <f>Plant_Information!$B$6</f>
        <v>(INSERT VENDOR NAME HERE)</v>
      </c>
      <c r="R829" t="str">
        <f>'HAULING RATES- ODOT Locations'!$A$233</f>
        <v>District 12</v>
      </c>
      <c r="S829" t="str">
        <f>'HAULING RATES- ODOT Locations'!A240</f>
        <v>Cuyahoga</v>
      </c>
      <c r="T829" t="str">
        <f>'HAULING RATES- ODOT Locations'!B240</f>
        <v>Riveredge Yard, 4900 Old Grayton Rd., Cleveland, OH 44135</v>
      </c>
      <c r="U829" t="str">
        <f>'HAULING RATES- ODOT Locations'!F$8</f>
        <v>Sand</v>
      </c>
      <c r="V829" s="146">
        <f>'HAULING RATES- ODOT Locations'!F240</f>
        <v>0</v>
      </c>
      <c r="W829" s="131" t="str">
        <f>+'Aggregate, Plant Pick-up'!$C$6</f>
        <v>LAFARGE-MARBLEHEAD "OSBORNE-CLEVELAND"</v>
      </c>
      <c r="X829" s="131" t="str">
        <f>+Plant_Information!$B$10</f>
        <v>04105-28</v>
      </c>
      <c r="Y829" s="131" t="str">
        <f>+Plant_Information!$B$11</f>
        <v>2100 CENTRAL FURNACE ROAD</v>
      </c>
      <c r="Z829" s="131" t="str">
        <f>+Plant_Information!$B$12</f>
        <v>CLEVELAND, OH, 44115</v>
      </c>
      <c r="AA829" s="131" t="str">
        <f>+Plant_Information!$B$13</f>
        <v>12</v>
      </c>
      <c r="AB829" s="131" t="str">
        <f>+Plant_Information!$B$14</f>
        <v>CUY</v>
      </c>
      <c r="AC829" s="70"/>
    </row>
    <row r="830" spans="17:29" x14ac:dyDescent="0.2">
      <c r="Q830" t="str">
        <f>Plant_Information!$B$6</f>
        <v>(INSERT VENDOR NAME HERE)</v>
      </c>
      <c r="R830" t="str">
        <f>'HAULING RATES- ODOT Locations'!$A$233</f>
        <v>District 12</v>
      </c>
      <c r="S830" t="str">
        <f>'HAULING RATES- ODOT Locations'!A241</f>
        <v>Cuyahoga</v>
      </c>
      <c r="T830" t="str">
        <f>'HAULING RATES- ODOT Locations'!B241</f>
        <v>3263 E 44th Pl, Cleveland, OH 44127</v>
      </c>
      <c r="U830" t="str">
        <f>'HAULING RATES- ODOT Locations'!F$8</f>
        <v>Sand</v>
      </c>
      <c r="V830" s="146">
        <f>'HAULING RATES- ODOT Locations'!F241</f>
        <v>0</v>
      </c>
      <c r="W830" s="131" t="str">
        <f>+'Aggregate, Plant Pick-up'!$C$6</f>
        <v>LAFARGE-MARBLEHEAD "OSBORNE-CLEVELAND"</v>
      </c>
      <c r="X830" s="131" t="str">
        <f>+Plant_Information!$B$10</f>
        <v>04105-28</v>
      </c>
      <c r="Y830" s="131" t="str">
        <f>+Plant_Information!$B$11</f>
        <v>2100 CENTRAL FURNACE ROAD</v>
      </c>
      <c r="Z830" s="131" t="str">
        <f>+Plant_Information!$B$12</f>
        <v>CLEVELAND, OH, 44115</v>
      </c>
      <c r="AA830" s="131" t="str">
        <f>+Plant_Information!$B$13</f>
        <v>12</v>
      </c>
      <c r="AB830" s="131" t="str">
        <f>+Plant_Information!$B$14</f>
        <v>CUY</v>
      </c>
      <c r="AC830" s="70"/>
    </row>
    <row r="831" spans="17:29" x14ac:dyDescent="0.2">
      <c r="Q831" t="str">
        <f>Plant_Information!$B$6</f>
        <v>(INSERT VENDOR NAME HERE)</v>
      </c>
      <c r="R831" t="str">
        <f>'HAULING RATES- ODOT Locations'!$A$233</f>
        <v>District 12</v>
      </c>
      <c r="S831" t="str">
        <f>'HAULING RATES- ODOT Locations'!A242</f>
        <v>Cuyahoga</v>
      </c>
      <c r="T831" t="str">
        <f>'HAULING RATES- ODOT Locations'!B242</f>
        <v>25609 Emery Rd., Warrensville Heights, OH 44128</v>
      </c>
      <c r="U831" t="str">
        <f>'HAULING RATES- ODOT Locations'!F$8</f>
        <v>Sand</v>
      </c>
      <c r="V831" s="146">
        <f>'HAULING RATES- ODOT Locations'!F242</f>
        <v>0</v>
      </c>
      <c r="W831" s="131" t="str">
        <f>+'Aggregate, Plant Pick-up'!$C$6</f>
        <v>LAFARGE-MARBLEHEAD "OSBORNE-CLEVELAND"</v>
      </c>
      <c r="X831" s="131" t="str">
        <f>+Plant_Information!$B$10</f>
        <v>04105-28</v>
      </c>
      <c r="Y831" s="131" t="str">
        <f>+Plant_Information!$B$11</f>
        <v>2100 CENTRAL FURNACE ROAD</v>
      </c>
      <c r="Z831" s="131" t="str">
        <f>+Plant_Information!$B$12</f>
        <v>CLEVELAND, OH, 44115</v>
      </c>
      <c r="AA831" s="131" t="str">
        <f>+Plant_Information!$B$13</f>
        <v>12</v>
      </c>
      <c r="AB831" s="131" t="str">
        <f>+Plant_Information!$B$14</f>
        <v>CUY</v>
      </c>
      <c r="AC831" s="70"/>
    </row>
    <row r="832" spans="17:29" x14ac:dyDescent="0.2">
      <c r="Q832" t="str">
        <f>Plant_Information!$B$6</f>
        <v>(INSERT VENDOR NAME HERE)</v>
      </c>
      <c r="R832" t="str">
        <f>'HAULING RATES- ODOT Locations'!$A$233</f>
        <v>District 12</v>
      </c>
      <c r="S832" t="str">
        <f>'HAULING RATES- ODOT Locations'!A243</f>
        <v>Geauga</v>
      </c>
      <c r="T832" t="str">
        <f>'HAULING RATES- ODOT Locations'!B243</f>
        <v>13595 W. Center St.(Rt. 87), Burton, OH 44021</v>
      </c>
      <c r="U832" t="str">
        <f>'HAULING RATES- ODOT Locations'!F$8</f>
        <v>Sand</v>
      </c>
      <c r="V832" s="146">
        <f>'HAULING RATES- ODOT Locations'!F243</f>
        <v>0</v>
      </c>
      <c r="W832" s="131" t="str">
        <f>+'Aggregate, Plant Pick-up'!$C$6</f>
        <v>LAFARGE-MARBLEHEAD "OSBORNE-CLEVELAND"</v>
      </c>
      <c r="X832" s="131" t="str">
        <f>+Plant_Information!$B$10</f>
        <v>04105-28</v>
      </c>
      <c r="Y832" s="131" t="str">
        <f>+Plant_Information!$B$11</f>
        <v>2100 CENTRAL FURNACE ROAD</v>
      </c>
      <c r="Z832" s="131" t="str">
        <f>+Plant_Information!$B$12</f>
        <v>CLEVELAND, OH, 44115</v>
      </c>
      <c r="AA832" s="131" t="str">
        <f>+Plant_Information!$B$13</f>
        <v>12</v>
      </c>
      <c r="AB832" s="131" t="str">
        <f>+Plant_Information!$B$14</f>
        <v>CUY</v>
      </c>
      <c r="AC832" s="70"/>
    </row>
    <row r="833" spans="17:29" x14ac:dyDescent="0.2">
      <c r="Q833" t="str">
        <f>Plant_Information!$B$6</f>
        <v>(INSERT VENDOR NAME HERE)</v>
      </c>
      <c r="R833" t="str">
        <f>'HAULING RATES- ODOT Locations'!$A$233</f>
        <v>District 12</v>
      </c>
      <c r="S833" t="str">
        <f>'HAULING RATES- ODOT Locations'!A244</f>
        <v>Geauga</v>
      </c>
      <c r="T833" t="str">
        <f>'HAULING RATES- ODOT Locations'!B244</f>
        <v>16556 G.A.R. Highway (Route 6), Montville Twp., OH 44064</v>
      </c>
      <c r="U833" t="str">
        <f>'HAULING RATES- ODOT Locations'!F$8</f>
        <v>Sand</v>
      </c>
      <c r="V833" s="146">
        <f>'HAULING RATES- ODOT Locations'!F244</f>
        <v>0</v>
      </c>
      <c r="W833" s="131" t="str">
        <f>+'Aggregate, Plant Pick-up'!$C$6</f>
        <v>LAFARGE-MARBLEHEAD "OSBORNE-CLEVELAND"</v>
      </c>
      <c r="X833" s="131" t="str">
        <f>+Plant_Information!$B$10</f>
        <v>04105-28</v>
      </c>
      <c r="Y833" s="131" t="str">
        <f>+Plant_Information!$B$11</f>
        <v>2100 CENTRAL FURNACE ROAD</v>
      </c>
      <c r="Z833" s="131" t="str">
        <f>+Plant_Information!$B$12</f>
        <v>CLEVELAND, OH, 44115</v>
      </c>
      <c r="AA833" s="131" t="str">
        <f>+Plant_Information!$B$13</f>
        <v>12</v>
      </c>
      <c r="AB833" s="131" t="str">
        <f>+Plant_Information!$B$14</f>
        <v>CUY</v>
      </c>
      <c r="AC833" s="70"/>
    </row>
    <row r="834" spans="17:29" x14ac:dyDescent="0.2">
      <c r="Q834" t="str">
        <f>Plant_Information!$B$6</f>
        <v>(INSERT VENDOR NAME HERE)</v>
      </c>
      <c r="R834" t="str">
        <f>'HAULING RATES- ODOT Locations'!$A$233</f>
        <v>District 12</v>
      </c>
      <c r="S834" t="str">
        <f>'HAULING RATES- ODOT Locations'!A245</f>
        <v>Geauga</v>
      </c>
      <c r="T834" t="str">
        <f>'HAULING RATES- ODOT Locations'!B245</f>
        <v>Munson Yard, 12453 Bass Lake Rd. (Off  Route 322) Munson Twp., OH 44024</v>
      </c>
      <c r="U834" t="str">
        <f>'HAULING RATES- ODOT Locations'!F$8</f>
        <v>Sand</v>
      </c>
      <c r="V834" s="146">
        <f>'HAULING RATES- ODOT Locations'!F245</f>
        <v>0</v>
      </c>
      <c r="W834" s="131" t="str">
        <f>+'Aggregate, Plant Pick-up'!$C$6</f>
        <v>LAFARGE-MARBLEHEAD "OSBORNE-CLEVELAND"</v>
      </c>
      <c r="X834" s="131" t="str">
        <f>+Plant_Information!$B$10</f>
        <v>04105-28</v>
      </c>
      <c r="Y834" s="131" t="str">
        <f>+Plant_Information!$B$11</f>
        <v>2100 CENTRAL FURNACE ROAD</v>
      </c>
      <c r="Z834" s="131" t="str">
        <f>+Plant_Information!$B$12</f>
        <v>CLEVELAND, OH, 44115</v>
      </c>
      <c r="AA834" s="131" t="str">
        <f>+Plant_Information!$B$13</f>
        <v>12</v>
      </c>
      <c r="AB834" s="131" t="str">
        <f>+Plant_Information!$B$14</f>
        <v>CUY</v>
      </c>
      <c r="AC834" s="70"/>
    </row>
    <row r="835" spans="17:29" x14ac:dyDescent="0.2">
      <c r="Q835" t="str">
        <f>Plant_Information!$B$6</f>
        <v>(INSERT VENDOR NAME HERE)</v>
      </c>
      <c r="R835" t="str">
        <f>'HAULING RATES- ODOT Locations'!$A$233</f>
        <v>District 12</v>
      </c>
      <c r="S835" t="str">
        <f>'HAULING RATES- ODOT Locations'!A246</f>
        <v>Geauga</v>
      </c>
      <c r="T835" t="str">
        <f>'HAULING RATES- ODOT Locations'!B246</f>
        <v>18186 Tavern Rd.(Route 168), Parkman Twp., OH 44080</v>
      </c>
      <c r="U835" t="str">
        <f>'HAULING RATES- ODOT Locations'!F$8</f>
        <v>Sand</v>
      </c>
      <c r="V835" s="146">
        <f>'HAULING RATES- ODOT Locations'!F246</f>
        <v>0</v>
      </c>
      <c r="W835" s="131" t="str">
        <f>+'Aggregate, Plant Pick-up'!$C$6</f>
        <v>LAFARGE-MARBLEHEAD "OSBORNE-CLEVELAND"</v>
      </c>
      <c r="X835" s="131" t="str">
        <f>+Plant_Information!$B$10</f>
        <v>04105-28</v>
      </c>
      <c r="Y835" s="131" t="str">
        <f>+Plant_Information!$B$11</f>
        <v>2100 CENTRAL FURNACE ROAD</v>
      </c>
      <c r="Z835" s="131" t="str">
        <f>+Plant_Information!$B$12</f>
        <v>CLEVELAND, OH, 44115</v>
      </c>
      <c r="AA835" s="131" t="str">
        <f>+Plant_Information!$B$13</f>
        <v>12</v>
      </c>
      <c r="AB835" s="131" t="str">
        <f>+Plant_Information!$B$14</f>
        <v>CUY</v>
      </c>
      <c r="AC835" s="70"/>
    </row>
    <row r="836" spans="17:29" x14ac:dyDescent="0.2">
      <c r="Q836" t="str">
        <f>Plant_Information!$B$6</f>
        <v>(INSERT VENDOR NAME HERE)</v>
      </c>
      <c r="R836" t="str">
        <f>'HAULING RATES- ODOT Locations'!$A$233</f>
        <v>District 12</v>
      </c>
      <c r="S836" t="str">
        <f>'HAULING RATES- ODOT Locations'!A247</f>
        <v>Lake</v>
      </c>
      <c r="T836" t="str">
        <f>'HAULING RATES- ODOT Locations'!B247</f>
        <v>10 Blackbrook Rd., Painesville, OH 44077</v>
      </c>
      <c r="U836" t="str">
        <f>'HAULING RATES- ODOT Locations'!F$8</f>
        <v>Sand</v>
      </c>
      <c r="V836" s="146">
        <f>'HAULING RATES- ODOT Locations'!F247</f>
        <v>0</v>
      </c>
      <c r="W836" s="131" t="str">
        <f>+'Aggregate, Plant Pick-up'!$C$6</f>
        <v>LAFARGE-MARBLEHEAD "OSBORNE-CLEVELAND"</v>
      </c>
      <c r="X836" s="131" t="str">
        <f>+Plant_Information!$B$10</f>
        <v>04105-28</v>
      </c>
      <c r="Y836" s="131" t="str">
        <f>+Plant_Information!$B$11</f>
        <v>2100 CENTRAL FURNACE ROAD</v>
      </c>
      <c r="Z836" s="131" t="str">
        <f>+Plant_Information!$B$12</f>
        <v>CLEVELAND, OH, 44115</v>
      </c>
      <c r="AA836" s="131" t="str">
        <f>+Plant_Information!$B$13</f>
        <v>12</v>
      </c>
      <c r="AB836" s="131" t="str">
        <f>+Plant_Information!$B$14</f>
        <v>CUY</v>
      </c>
      <c r="AC836" s="70"/>
    </row>
    <row r="837" spans="17:29" x14ac:dyDescent="0.2">
      <c r="Q837" t="str">
        <f>Plant_Information!$B$6</f>
        <v>(INSERT VENDOR NAME HERE)</v>
      </c>
      <c r="R837" t="str">
        <f>'HAULING RATES- ODOT Locations'!$A$233</f>
        <v>District 12</v>
      </c>
      <c r="S837" t="str">
        <f>'HAULING RATES- ODOT Locations'!A248</f>
        <v>Lake</v>
      </c>
      <c r="T837" t="str">
        <f>'HAULING RATES- ODOT Locations'!B248</f>
        <v>Unionville OP, 3210 County Line Rd., Madison Twp., OH 44057</v>
      </c>
      <c r="U837" t="str">
        <f>'HAULING RATES- ODOT Locations'!F$8</f>
        <v>Sand</v>
      </c>
      <c r="V837" s="146">
        <f>'HAULING RATES- ODOT Locations'!F248</f>
        <v>0</v>
      </c>
      <c r="W837" s="131" t="str">
        <f>+'Aggregate, Plant Pick-up'!$C$6</f>
        <v>LAFARGE-MARBLEHEAD "OSBORNE-CLEVELAND"</v>
      </c>
      <c r="X837" s="131" t="str">
        <f>+Plant_Information!$B$10</f>
        <v>04105-28</v>
      </c>
      <c r="Y837" s="131" t="str">
        <f>+Plant_Information!$B$11</f>
        <v>2100 CENTRAL FURNACE ROAD</v>
      </c>
      <c r="Z837" s="131" t="str">
        <f>+Plant_Information!$B$12</f>
        <v>CLEVELAND, OH, 44115</v>
      </c>
      <c r="AA837" s="131" t="str">
        <f>+Plant_Information!$B$13</f>
        <v>12</v>
      </c>
      <c r="AB837" s="131" t="str">
        <f>+Plant_Information!$B$14</f>
        <v>CUY</v>
      </c>
      <c r="AC837" s="70"/>
    </row>
    <row r="838" spans="17:29" x14ac:dyDescent="0.2">
      <c r="Q838" t="str">
        <f>Plant_Information!$B$6</f>
        <v>(INSERT VENDOR NAME HERE)</v>
      </c>
      <c r="R838" t="str">
        <f>'HAULING RATES- ODOT Locations'!$A$233</f>
        <v>District 12</v>
      </c>
      <c r="S838" t="str">
        <f>'HAULING RATES- ODOT Locations'!A249</f>
        <v>Lake</v>
      </c>
      <c r="T838" t="str">
        <f>'HAULING RATES- ODOT Locations'!B249</f>
        <v>I-90 EB, 0.84 mi. east of SR 91, Willoughby Hills, OH 44094 (Old Weigh Scale)</v>
      </c>
      <c r="U838" t="str">
        <f>'HAULING RATES- ODOT Locations'!F$8</f>
        <v>Sand</v>
      </c>
      <c r="V838" s="146">
        <f>'HAULING RATES- ODOT Locations'!F249</f>
        <v>0</v>
      </c>
      <c r="W838" s="131" t="str">
        <f>+'Aggregate, Plant Pick-up'!$C$6</f>
        <v>LAFARGE-MARBLEHEAD "OSBORNE-CLEVELAND"</v>
      </c>
      <c r="X838" s="131" t="str">
        <f>+Plant_Information!$B$10</f>
        <v>04105-28</v>
      </c>
      <c r="Y838" s="131" t="str">
        <f>+Plant_Information!$B$11</f>
        <v>2100 CENTRAL FURNACE ROAD</v>
      </c>
      <c r="Z838" s="131" t="str">
        <f>+Plant_Information!$B$12</f>
        <v>CLEVELAND, OH, 44115</v>
      </c>
      <c r="AA838" s="131" t="str">
        <f>+Plant_Information!$B$13</f>
        <v>12</v>
      </c>
      <c r="AB838" s="131" t="str">
        <f>+Plant_Information!$B$14</f>
        <v>CUY</v>
      </c>
      <c r="AC838" s="70"/>
    </row>
    <row r="839" spans="17:29" x14ac:dyDescent="0.2">
      <c r="Q839" t="str">
        <f>Plant_Information!$B$6</f>
        <v>(INSERT VENDOR NAME HERE)</v>
      </c>
      <c r="R839" t="str">
        <f>'HAULING RATES- ODOT Locations'!$A$233</f>
        <v>District 12</v>
      </c>
      <c r="S839" t="str">
        <f>'HAULING RATES- ODOT Locations'!A250</f>
        <v>Lake</v>
      </c>
      <c r="T839" t="str">
        <f>'HAULING RATES- ODOT Locations'!B250</f>
        <v>6073 Vrooman Rd., Leroy Township., OH 44077</v>
      </c>
      <c r="U839" t="str">
        <f>'HAULING RATES- ODOT Locations'!F$8</f>
        <v>Sand</v>
      </c>
      <c r="V839" s="146">
        <f>'HAULING RATES- ODOT Locations'!F250</f>
        <v>0</v>
      </c>
      <c r="W839" s="131" t="str">
        <f>+'Aggregate, Plant Pick-up'!$C$6</f>
        <v>LAFARGE-MARBLEHEAD "OSBORNE-CLEVELAND"</v>
      </c>
      <c r="X839" s="131" t="str">
        <f>+Plant_Information!$B$10</f>
        <v>04105-28</v>
      </c>
      <c r="Y839" s="131" t="str">
        <f>+Plant_Information!$B$11</f>
        <v>2100 CENTRAL FURNACE ROAD</v>
      </c>
      <c r="Z839" s="131" t="str">
        <f>+Plant_Information!$B$12</f>
        <v>CLEVELAND, OH, 44115</v>
      </c>
      <c r="AA839" s="131" t="str">
        <f>+Plant_Information!$B$13</f>
        <v>12</v>
      </c>
      <c r="AB839" s="131" t="str">
        <f>+Plant_Information!$B$14</f>
        <v>CUY</v>
      </c>
      <c r="AC839" s="70"/>
    </row>
    <row r="840" spans="17:29" x14ac:dyDescent="0.2">
      <c r="Q840" t="str">
        <f>Plant_Information!$B$6</f>
        <v>(INSERT VENDOR NAME HERE)</v>
      </c>
      <c r="R840" t="str">
        <f>'HAULING RATES- ODOT Locations'!$A$6</f>
        <v>District 1</v>
      </c>
      <c r="S840" t="str">
        <f>'HAULING RATES- ODOT Locations'!A9</f>
        <v>Allen</v>
      </c>
      <c r="T840" t="str">
        <f>'HAULING RATES- ODOT Locations'!B9</f>
        <v>1705 North McCullough Street, Lima, 45801</v>
      </c>
      <c r="U840" t="str">
        <f>'HAULING RATES- ODOT Locations'!G$8</f>
        <v>Dump Rock</v>
      </c>
      <c r="V840" s="146">
        <f>'HAULING RATES- ODOT Locations'!G9</f>
        <v>0</v>
      </c>
      <c r="W840" s="131" t="str">
        <f>+'Aggregate, Plant Pick-up'!$C$6</f>
        <v>LAFARGE-MARBLEHEAD "OSBORNE-CLEVELAND"</v>
      </c>
      <c r="X840" s="131" t="str">
        <f>+Plant_Information!$B$10</f>
        <v>04105-28</v>
      </c>
      <c r="Y840" s="131" t="str">
        <f>+Plant_Information!$B$11</f>
        <v>2100 CENTRAL FURNACE ROAD</v>
      </c>
      <c r="Z840" s="131" t="str">
        <f>+Plant_Information!$B$12</f>
        <v>CLEVELAND, OH, 44115</v>
      </c>
      <c r="AA840" s="131" t="str">
        <f>+Plant_Information!$B$13</f>
        <v>12</v>
      </c>
      <c r="AB840" s="131" t="str">
        <f>+Plant_Information!$B$14</f>
        <v>CUY</v>
      </c>
      <c r="AC840" s="70"/>
    </row>
    <row r="841" spans="17:29" x14ac:dyDescent="0.2">
      <c r="Q841" t="str">
        <f>Plant_Information!$B$6</f>
        <v>(INSERT VENDOR NAME HERE)</v>
      </c>
      <c r="R841" t="str">
        <f>'HAULING RATES- ODOT Locations'!$A$6</f>
        <v>District 1</v>
      </c>
      <c r="S841" t="str">
        <f>'HAULING RATES- ODOT Locations'!A10</f>
        <v>Defiance</v>
      </c>
      <c r="T841" t="str">
        <f>'HAULING RATES- ODOT Locations'!B10</f>
        <v>2340 Baltimore Rd., Defiance 43512</v>
      </c>
      <c r="U841" t="str">
        <f>'HAULING RATES- ODOT Locations'!G$8</f>
        <v>Dump Rock</v>
      </c>
      <c r="V841" s="146">
        <f>'HAULING RATES- ODOT Locations'!G10</f>
        <v>0</v>
      </c>
      <c r="W841" s="131" t="str">
        <f>+'Aggregate, Plant Pick-up'!$C$6</f>
        <v>LAFARGE-MARBLEHEAD "OSBORNE-CLEVELAND"</v>
      </c>
      <c r="X841" s="131" t="str">
        <f>+Plant_Information!$B$10</f>
        <v>04105-28</v>
      </c>
      <c r="Y841" s="131" t="str">
        <f>+Plant_Information!$B$11</f>
        <v>2100 CENTRAL FURNACE ROAD</v>
      </c>
      <c r="Z841" s="131" t="str">
        <f>+Plant_Information!$B$12</f>
        <v>CLEVELAND, OH, 44115</v>
      </c>
      <c r="AA841" s="131" t="str">
        <f>+Plant_Information!$B$13</f>
        <v>12</v>
      </c>
      <c r="AB841" s="131" t="str">
        <f>+Plant_Information!$B$14</f>
        <v>CUY</v>
      </c>
      <c r="AC841" s="70"/>
    </row>
    <row r="842" spans="17:29" x14ac:dyDescent="0.2">
      <c r="Q842" t="str">
        <f>Plant_Information!$B$6</f>
        <v>(INSERT VENDOR NAME HERE)</v>
      </c>
      <c r="R842" t="str">
        <f>'HAULING RATES- ODOT Locations'!$A$6</f>
        <v>District 1</v>
      </c>
      <c r="S842" t="str">
        <f>'HAULING RATES- ODOT Locations'!A11</f>
        <v>Hancock</v>
      </c>
      <c r="T842" t="str">
        <f>'HAULING RATES- ODOT Locations'!B11</f>
        <v>1645 Lima Ave., Findlay 45840</v>
      </c>
      <c r="U842" t="str">
        <f>'HAULING RATES- ODOT Locations'!G$8</f>
        <v>Dump Rock</v>
      </c>
      <c r="V842" s="146">
        <f>'HAULING RATES- ODOT Locations'!G11</f>
        <v>0</v>
      </c>
      <c r="W842" s="131" t="str">
        <f>+'Aggregate, Plant Pick-up'!$C$6</f>
        <v>LAFARGE-MARBLEHEAD "OSBORNE-CLEVELAND"</v>
      </c>
      <c r="X842" s="131" t="str">
        <f>+Plant_Information!$B$10</f>
        <v>04105-28</v>
      </c>
      <c r="Y842" s="131" t="str">
        <f>+Plant_Information!$B$11</f>
        <v>2100 CENTRAL FURNACE ROAD</v>
      </c>
      <c r="Z842" s="131" t="str">
        <f>+Plant_Information!$B$12</f>
        <v>CLEVELAND, OH, 44115</v>
      </c>
      <c r="AA842" s="131" t="str">
        <f>+Plant_Information!$B$13</f>
        <v>12</v>
      </c>
      <c r="AB842" s="131" t="str">
        <f>+Plant_Information!$B$14</f>
        <v>CUY</v>
      </c>
      <c r="AC842" s="70"/>
    </row>
    <row r="843" spans="17:29" x14ac:dyDescent="0.2">
      <c r="Q843" t="str">
        <f>Plant_Information!$B$6</f>
        <v>(INSERT VENDOR NAME HERE)</v>
      </c>
      <c r="R843" t="str">
        <f>'HAULING RATES- ODOT Locations'!$A$6</f>
        <v>District 1</v>
      </c>
      <c r="S843" t="str">
        <f>'HAULING RATES- ODOT Locations'!A12</f>
        <v>Hardin</v>
      </c>
      <c r="T843" t="str">
        <f>'HAULING RATES- ODOT Locations'!B12</f>
        <v>13052 US 68, Kenton 43326</v>
      </c>
      <c r="U843" t="str">
        <f>'HAULING RATES- ODOT Locations'!G$8</f>
        <v>Dump Rock</v>
      </c>
      <c r="V843" s="146">
        <f>'HAULING RATES- ODOT Locations'!G12</f>
        <v>0</v>
      </c>
      <c r="W843" s="131" t="str">
        <f>+'Aggregate, Plant Pick-up'!$C$6</f>
        <v>LAFARGE-MARBLEHEAD "OSBORNE-CLEVELAND"</v>
      </c>
      <c r="X843" s="131" t="str">
        <f>+Plant_Information!$B$10</f>
        <v>04105-28</v>
      </c>
      <c r="Y843" s="131" t="str">
        <f>+Plant_Information!$B$11</f>
        <v>2100 CENTRAL FURNACE ROAD</v>
      </c>
      <c r="Z843" s="131" t="str">
        <f>+Plant_Information!$B$12</f>
        <v>CLEVELAND, OH, 44115</v>
      </c>
      <c r="AA843" s="131" t="str">
        <f>+Plant_Information!$B$13</f>
        <v>12</v>
      </c>
      <c r="AB843" s="131" t="str">
        <f>+Plant_Information!$B$14</f>
        <v>CUY</v>
      </c>
      <c r="AC843" s="70"/>
    </row>
    <row r="844" spans="17:29" x14ac:dyDescent="0.2">
      <c r="Q844" t="str">
        <f>Plant_Information!$B$6</f>
        <v>(INSERT VENDOR NAME HERE)</v>
      </c>
      <c r="R844" t="str">
        <f>'HAULING RATES- ODOT Locations'!$A$6</f>
        <v>District 1</v>
      </c>
      <c r="S844" t="str">
        <f>'HAULING RATES- ODOT Locations'!A13</f>
        <v>Paulding</v>
      </c>
      <c r="T844" t="str">
        <f>'HAULING RATES- ODOT Locations'!B13</f>
        <v>833 W. Wayne St., Paulding 45879</v>
      </c>
      <c r="U844" t="str">
        <f>'HAULING RATES- ODOT Locations'!G$8</f>
        <v>Dump Rock</v>
      </c>
      <c r="V844" s="146">
        <f>'HAULING RATES- ODOT Locations'!G13</f>
        <v>0</v>
      </c>
      <c r="W844" s="131" t="str">
        <f>+'Aggregate, Plant Pick-up'!$C$6</f>
        <v>LAFARGE-MARBLEHEAD "OSBORNE-CLEVELAND"</v>
      </c>
      <c r="X844" s="131" t="str">
        <f>+Plant_Information!$B$10</f>
        <v>04105-28</v>
      </c>
      <c r="Y844" s="131" t="str">
        <f>+Plant_Information!$B$11</f>
        <v>2100 CENTRAL FURNACE ROAD</v>
      </c>
      <c r="Z844" s="131" t="str">
        <f>+Plant_Information!$B$12</f>
        <v>CLEVELAND, OH, 44115</v>
      </c>
      <c r="AA844" s="131" t="str">
        <f>+Plant_Information!$B$13</f>
        <v>12</v>
      </c>
      <c r="AB844" s="131" t="str">
        <f>+Plant_Information!$B$14</f>
        <v>CUY</v>
      </c>
      <c r="AC844" s="70"/>
    </row>
    <row r="845" spans="17:29" x14ac:dyDescent="0.2">
      <c r="Q845" t="str">
        <f>Plant_Information!$B$6</f>
        <v>(INSERT VENDOR NAME HERE)</v>
      </c>
      <c r="R845" t="str">
        <f>'HAULING RATES- ODOT Locations'!$A$6</f>
        <v>District 1</v>
      </c>
      <c r="S845" t="str">
        <f>'HAULING RATES- ODOT Locations'!A14</f>
        <v xml:space="preserve">Putnam </v>
      </c>
      <c r="T845" t="str">
        <f>'HAULING RATES- ODOT Locations'!B14</f>
        <v>617 E. 11th St. (Intersection SR 65 &amp; 11th Street), Ottawa, 45875</v>
      </c>
      <c r="U845" t="str">
        <f>'HAULING RATES- ODOT Locations'!G$8</f>
        <v>Dump Rock</v>
      </c>
      <c r="V845" s="146">
        <f>'HAULING RATES- ODOT Locations'!G14</f>
        <v>0</v>
      </c>
      <c r="W845" s="131" t="str">
        <f>+'Aggregate, Plant Pick-up'!$C$6</f>
        <v>LAFARGE-MARBLEHEAD "OSBORNE-CLEVELAND"</v>
      </c>
      <c r="X845" s="131" t="str">
        <f>+Plant_Information!$B$10</f>
        <v>04105-28</v>
      </c>
      <c r="Y845" s="131" t="str">
        <f>+Plant_Information!$B$11</f>
        <v>2100 CENTRAL FURNACE ROAD</v>
      </c>
      <c r="Z845" s="131" t="str">
        <f>+Plant_Information!$B$12</f>
        <v>CLEVELAND, OH, 44115</v>
      </c>
      <c r="AA845" s="131" t="str">
        <f>+Plant_Information!$B$13</f>
        <v>12</v>
      </c>
      <c r="AB845" s="131" t="str">
        <f>+Plant_Information!$B$14</f>
        <v>CUY</v>
      </c>
      <c r="AC845" s="70"/>
    </row>
    <row r="846" spans="17:29" x14ac:dyDescent="0.2">
      <c r="Q846" t="str">
        <f>Plant_Information!$B$6</f>
        <v>(INSERT VENDOR NAME HERE)</v>
      </c>
      <c r="R846" t="str">
        <f>'HAULING RATES- ODOT Locations'!$A$6</f>
        <v>District 1</v>
      </c>
      <c r="S846" t="str">
        <f>'HAULING RATES- ODOT Locations'!A15</f>
        <v>Van Wert</v>
      </c>
      <c r="T846" t="str">
        <f>'HAULING RATES- ODOT Locations'!B15</f>
        <v>10238 Van Wert-Decatur Rd., Van Wert 45891</v>
      </c>
      <c r="U846" t="str">
        <f>'HAULING RATES- ODOT Locations'!G$8</f>
        <v>Dump Rock</v>
      </c>
      <c r="V846" s="146">
        <f>'HAULING RATES- ODOT Locations'!G15</f>
        <v>0</v>
      </c>
      <c r="W846" s="131" t="str">
        <f>+'Aggregate, Plant Pick-up'!$C$6</f>
        <v>LAFARGE-MARBLEHEAD "OSBORNE-CLEVELAND"</v>
      </c>
      <c r="X846" s="131" t="str">
        <f>+Plant_Information!$B$10</f>
        <v>04105-28</v>
      </c>
      <c r="Y846" s="131" t="str">
        <f>+Plant_Information!$B$11</f>
        <v>2100 CENTRAL FURNACE ROAD</v>
      </c>
      <c r="Z846" s="131" t="str">
        <f>+Plant_Information!$B$12</f>
        <v>CLEVELAND, OH, 44115</v>
      </c>
      <c r="AA846" s="131" t="str">
        <f>+Plant_Information!$B$13</f>
        <v>12</v>
      </c>
      <c r="AB846" s="131" t="str">
        <f>+Plant_Information!$B$14</f>
        <v>CUY</v>
      </c>
      <c r="AC846" s="70"/>
    </row>
    <row r="847" spans="17:29" x14ac:dyDescent="0.2">
      <c r="Q847" t="str">
        <f>Plant_Information!$B$6</f>
        <v>(INSERT VENDOR NAME HERE)</v>
      </c>
      <c r="R847" t="str">
        <f>'HAULING RATES- ODOT Locations'!$A$6</f>
        <v>District 1</v>
      </c>
      <c r="S847" t="str">
        <f>'HAULING RATES- ODOT Locations'!A16</f>
        <v>Wyandot</v>
      </c>
      <c r="T847" t="str">
        <f>'HAULING RATES- ODOT Locations'!B16</f>
        <v>10976 County Highway 121, Upper Sandusky 43351</v>
      </c>
      <c r="U847" t="str">
        <f>'HAULING RATES- ODOT Locations'!G$8</f>
        <v>Dump Rock</v>
      </c>
      <c r="V847" s="146">
        <f>'HAULING RATES- ODOT Locations'!G16</f>
        <v>0</v>
      </c>
      <c r="W847" s="131" t="str">
        <f>+'Aggregate, Plant Pick-up'!$C$6</f>
        <v>LAFARGE-MARBLEHEAD "OSBORNE-CLEVELAND"</v>
      </c>
      <c r="X847" s="131" t="str">
        <f>+Plant_Information!$B$10</f>
        <v>04105-28</v>
      </c>
      <c r="Y847" s="131" t="str">
        <f>+Plant_Information!$B$11</f>
        <v>2100 CENTRAL FURNACE ROAD</v>
      </c>
      <c r="Z847" s="131" t="str">
        <f>+Plant_Information!$B$12</f>
        <v>CLEVELAND, OH, 44115</v>
      </c>
      <c r="AA847" s="131" t="str">
        <f>+Plant_Information!$B$13</f>
        <v>12</v>
      </c>
      <c r="AB847" s="131" t="str">
        <f>+Plant_Information!$B$14</f>
        <v>CUY</v>
      </c>
      <c r="AC847" s="70"/>
    </row>
    <row r="848" spans="17:29" x14ac:dyDescent="0.2">
      <c r="Q848" t="str">
        <f>Plant_Information!$B$6</f>
        <v>(INSERT VENDOR NAME HERE)</v>
      </c>
      <c r="R848" t="str">
        <f>'HAULING RATES- ODOT Locations'!$A$17</f>
        <v>District 2</v>
      </c>
      <c r="S848" t="str">
        <f>'HAULING RATES- ODOT Locations'!A20</f>
        <v>Fulton</v>
      </c>
      <c r="T848" t="str">
        <f>'HAULING RATES- ODOT Locations'!B20</f>
        <v>8878 State Route 108, Wauseon, Ohio 43567</v>
      </c>
      <c r="U848" t="str">
        <f>'HAULING RATES- ODOT Locations'!G$8</f>
        <v>Dump Rock</v>
      </c>
      <c r="V848" s="146">
        <f>'HAULING RATES- ODOT Locations'!G20</f>
        <v>0</v>
      </c>
      <c r="W848" s="131" t="str">
        <f>+'Aggregate, Plant Pick-up'!$C$6</f>
        <v>LAFARGE-MARBLEHEAD "OSBORNE-CLEVELAND"</v>
      </c>
      <c r="X848" s="131" t="str">
        <f>+Plant_Information!$B$10</f>
        <v>04105-28</v>
      </c>
      <c r="Y848" s="131" t="str">
        <f>+Plant_Information!$B$11</f>
        <v>2100 CENTRAL FURNACE ROAD</v>
      </c>
      <c r="Z848" s="131" t="str">
        <f>+Plant_Information!$B$12</f>
        <v>CLEVELAND, OH, 44115</v>
      </c>
      <c r="AA848" s="131" t="str">
        <f>+Plant_Information!$B$13</f>
        <v>12</v>
      </c>
      <c r="AB848" s="131" t="str">
        <f>+Plant_Information!$B$14</f>
        <v>CUY</v>
      </c>
      <c r="AC848" s="70"/>
    </row>
    <row r="849" spans="17:29" x14ac:dyDescent="0.2">
      <c r="Q849" t="str">
        <f>Plant_Information!$B$6</f>
        <v>(INSERT VENDOR NAME HERE)</v>
      </c>
      <c r="R849" t="str">
        <f>'HAULING RATES- ODOT Locations'!$A$17</f>
        <v>District 2</v>
      </c>
      <c r="S849" t="str">
        <f>'HAULING RATES- ODOT Locations'!A21</f>
        <v>Henry</v>
      </c>
      <c r="T849" t="str">
        <f>'HAULING RATES- ODOT Locations'!B21</f>
        <v>9733 SR 110 Napoleon, Oh 43545</v>
      </c>
      <c r="U849" t="str">
        <f>'HAULING RATES- ODOT Locations'!G$8</f>
        <v>Dump Rock</v>
      </c>
      <c r="V849" s="146">
        <f>'HAULING RATES- ODOT Locations'!G21</f>
        <v>0</v>
      </c>
      <c r="W849" s="131" t="str">
        <f>+'Aggregate, Plant Pick-up'!$C$6</f>
        <v>LAFARGE-MARBLEHEAD "OSBORNE-CLEVELAND"</v>
      </c>
      <c r="X849" s="131" t="str">
        <f>+Plant_Information!$B$10</f>
        <v>04105-28</v>
      </c>
      <c r="Y849" s="131" t="str">
        <f>+Plant_Information!$B$11</f>
        <v>2100 CENTRAL FURNACE ROAD</v>
      </c>
      <c r="Z849" s="131" t="str">
        <f>+Plant_Information!$B$12</f>
        <v>CLEVELAND, OH, 44115</v>
      </c>
      <c r="AA849" s="131" t="str">
        <f>+Plant_Information!$B$13</f>
        <v>12</v>
      </c>
      <c r="AB849" s="131" t="str">
        <f>+Plant_Information!$B$14</f>
        <v>CUY</v>
      </c>
      <c r="AC849" s="70"/>
    </row>
    <row r="850" spans="17:29" x14ac:dyDescent="0.2">
      <c r="Q850" t="str">
        <f>Plant_Information!$B$6</f>
        <v>(INSERT VENDOR NAME HERE)</v>
      </c>
      <c r="R850" t="str">
        <f>'HAULING RATES- ODOT Locations'!$A$17</f>
        <v>District 2</v>
      </c>
      <c r="S850" t="str">
        <f>'HAULING RATES- ODOT Locations'!A22</f>
        <v>Lucas</v>
      </c>
      <c r="T850" t="str">
        <f>'HAULING RATES- ODOT Locations'!B22</f>
        <v>4080 Technology Dr. Maumee, Oh 43537</v>
      </c>
      <c r="U850" t="str">
        <f>'HAULING RATES- ODOT Locations'!G$8</f>
        <v>Dump Rock</v>
      </c>
      <c r="V850" s="146">
        <f>'HAULING RATES- ODOT Locations'!G22</f>
        <v>0</v>
      </c>
      <c r="W850" s="131" t="str">
        <f>+'Aggregate, Plant Pick-up'!$C$6</f>
        <v>LAFARGE-MARBLEHEAD "OSBORNE-CLEVELAND"</v>
      </c>
      <c r="X850" s="131" t="str">
        <f>+Plant_Information!$B$10</f>
        <v>04105-28</v>
      </c>
      <c r="Y850" s="131" t="str">
        <f>+Plant_Information!$B$11</f>
        <v>2100 CENTRAL FURNACE ROAD</v>
      </c>
      <c r="Z850" s="131" t="str">
        <f>+Plant_Information!$B$12</f>
        <v>CLEVELAND, OH, 44115</v>
      </c>
      <c r="AA850" s="131" t="str">
        <f>+Plant_Information!$B$13</f>
        <v>12</v>
      </c>
      <c r="AB850" s="131" t="str">
        <f>+Plant_Information!$B$14</f>
        <v>CUY</v>
      </c>
      <c r="AC850" s="70"/>
    </row>
    <row r="851" spans="17:29" x14ac:dyDescent="0.2">
      <c r="Q851" t="str">
        <f>Plant_Information!$B$6</f>
        <v>(INSERT VENDOR NAME HERE)</v>
      </c>
      <c r="R851" t="str">
        <f>'HAULING RATES- ODOT Locations'!$A$17</f>
        <v>District 2</v>
      </c>
      <c r="S851" t="str">
        <f>'HAULING RATES- ODOT Locations'!A23</f>
        <v>Ottawa</v>
      </c>
      <c r="T851" t="str">
        <f>'HAULING RATES- ODOT Locations'!B23</f>
        <v>307 S. Railroad St., Oak Harbor</v>
      </c>
      <c r="U851" t="str">
        <f>'HAULING RATES- ODOT Locations'!G$8</f>
        <v>Dump Rock</v>
      </c>
      <c r="V851" s="146">
        <f>'HAULING RATES- ODOT Locations'!G23</f>
        <v>0</v>
      </c>
      <c r="W851" s="131" t="str">
        <f>+'Aggregate, Plant Pick-up'!$C$6</f>
        <v>LAFARGE-MARBLEHEAD "OSBORNE-CLEVELAND"</v>
      </c>
      <c r="X851" s="131" t="str">
        <f>+Plant_Information!$B$10</f>
        <v>04105-28</v>
      </c>
      <c r="Y851" s="131" t="str">
        <f>+Plant_Information!$B$11</f>
        <v>2100 CENTRAL FURNACE ROAD</v>
      </c>
      <c r="Z851" s="131" t="str">
        <f>+Plant_Information!$B$12</f>
        <v>CLEVELAND, OH, 44115</v>
      </c>
      <c r="AA851" s="131" t="str">
        <f>+Plant_Information!$B$13</f>
        <v>12</v>
      </c>
      <c r="AB851" s="131" t="str">
        <f>+Plant_Information!$B$14</f>
        <v>CUY</v>
      </c>
      <c r="AC851" s="70"/>
    </row>
    <row r="852" spans="17:29" x14ac:dyDescent="0.2">
      <c r="Q852" t="str">
        <f>Plant_Information!$B$6</f>
        <v>(INSERT VENDOR NAME HERE)</v>
      </c>
      <c r="R852" t="str">
        <f>'HAULING RATES- ODOT Locations'!$A$17</f>
        <v>District 2</v>
      </c>
      <c r="S852" t="str">
        <f>'HAULING RATES- ODOT Locations'!A24</f>
        <v>Ottawa</v>
      </c>
      <c r="T852" t="str">
        <f>'HAULING RATES- ODOT Locations'!B24</f>
        <v>Edison Bridge Outpost, 4560 E. Bayshore Rd. 43452, Port Clinton</v>
      </c>
      <c r="U852" t="str">
        <f>'HAULING RATES- ODOT Locations'!G$8</f>
        <v>Dump Rock</v>
      </c>
      <c r="V852" s="146">
        <f>'HAULING RATES- ODOT Locations'!G24</f>
        <v>0</v>
      </c>
      <c r="W852" s="131" t="str">
        <f>+'Aggregate, Plant Pick-up'!$C$6</f>
        <v>LAFARGE-MARBLEHEAD "OSBORNE-CLEVELAND"</v>
      </c>
      <c r="X852" s="131" t="str">
        <f>+Plant_Information!$B$10</f>
        <v>04105-28</v>
      </c>
      <c r="Y852" s="131" t="str">
        <f>+Plant_Information!$B$11</f>
        <v>2100 CENTRAL FURNACE ROAD</v>
      </c>
      <c r="Z852" s="131" t="str">
        <f>+Plant_Information!$B$12</f>
        <v>CLEVELAND, OH, 44115</v>
      </c>
      <c r="AA852" s="131" t="str">
        <f>+Plant_Information!$B$13</f>
        <v>12</v>
      </c>
      <c r="AB852" s="131" t="str">
        <f>+Plant_Information!$B$14</f>
        <v>CUY</v>
      </c>
      <c r="AC852" s="70"/>
    </row>
    <row r="853" spans="17:29" x14ac:dyDescent="0.2">
      <c r="Q853" t="str">
        <f>Plant_Information!$B$6</f>
        <v>(INSERT VENDOR NAME HERE)</v>
      </c>
      <c r="R853" t="str">
        <f>'HAULING RATES- ODOT Locations'!$A$17</f>
        <v>District 2</v>
      </c>
      <c r="S853" t="str">
        <f>'HAULING RATES- ODOT Locations'!A25</f>
        <v>Sandusky</v>
      </c>
      <c r="T853" t="str">
        <f>'HAULING RATES- ODOT Locations'!B25</f>
        <v>1891 N. State Route 53, Fremont, Ohio 43420</v>
      </c>
      <c r="U853" t="str">
        <f>'HAULING RATES- ODOT Locations'!G$8</f>
        <v>Dump Rock</v>
      </c>
      <c r="V853" s="146">
        <f>'HAULING RATES- ODOT Locations'!G25</f>
        <v>0</v>
      </c>
      <c r="W853" s="131" t="str">
        <f>+'Aggregate, Plant Pick-up'!$C$6</f>
        <v>LAFARGE-MARBLEHEAD "OSBORNE-CLEVELAND"</v>
      </c>
      <c r="X853" s="131" t="str">
        <f>+Plant_Information!$B$10</f>
        <v>04105-28</v>
      </c>
      <c r="Y853" s="131" t="str">
        <f>+Plant_Information!$B$11</f>
        <v>2100 CENTRAL FURNACE ROAD</v>
      </c>
      <c r="Z853" s="131" t="str">
        <f>+Plant_Information!$B$12</f>
        <v>CLEVELAND, OH, 44115</v>
      </c>
      <c r="AA853" s="131" t="str">
        <f>+Plant_Information!$B$13</f>
        <v>12</v>
      </c>
      <c r="AB853" s="131" t="str">
        <f>+Plant_Information!$B$14</f>
        <v>CUY</v>
      </c>
      <c r="AC853" s="70"/>
    </row>
    <row r="854" spans="17:29" x14ac:dyDescent="0.2">
      <c r="Q854" t="str">
        <f>Plant_Information!$B$6</f>
        <v>(INSERT VENDOR NAME HERE)</v>
      </c>
      <c r="R854" t="str">
        <f>'HAULING RATES- ODOT Locations'!$A$17</f>
        <v>District 2</v>
      </c>
      <c r="S854" t="str">
        <f>'HAULING RATES- ODOT Locations'!A26</f>
        <v>Seneca</v>
      </c>
      <c r="T854" t="str">
        <f>'HAULING RATES- ODOT Locations'!B26</f>
        <v>3390 S. SR 100, Tiffin</v>
      </c>
      <c r="U854" t="str">
        <f>'HAULING RATES- ODOT Locations'!G$8</f>
        <v>Dump Rock</v>
      </c>
      <c r="V854" s="146">
        <f>'HAULING RATES- ODOT Locations'!G26</f>
        <v>0</v>
      </c>
      <c r="W854" s="131" t="str">
        <f>+'Aggregate, Plant Pick-up'!$C$6</f>
        <v>LAFARGE-MARBLEHEAD "OSBORNE-CLEVELAND"</v>
      </c>
      <c r="X854" s="131" t="str">
        <f>+Plant_Information!$B$10</f>
        <v>04105-28</v>
      </c>
      <c r="Y854" s="131" t="str">
        <f>+Plant_Information!$B$11</f>
        <v>2100 CENTRAL FURNACE ROAD</v>
      </c>
      <c r="Z854" s="131" t="str">
        <f>+Plant_Information!$B$12</f>
        <v>CLEVELAND, OH, 44115</v>
      </c>
      <c r="AA854" s="131" t="str">
        <f>+Plant_Information!$B$13</f>
        <v>12</v>
      </c>
      <c r="AB854" s="131" t="str">
        <f>+Plant_Information!$B$14</f>
        <v>CUY</v>
      </c>
      <c r="AC854" s="70"/>
    </row>
    <row r="855" spans="17:29" x14ac:dyDescent="0.2">
      <c r="Q855" t="str">
        <f>Plant_Information!$B$6</f>
        <v>(INSERT VENDOR NAME HERE)</v>
      </c>
      <c r="R855" t="str">
        <f>'HAULING RATES- ODOT Locations'!$A$17</f>
        <v>District 2</v>
      </c>
      <c r="S855" t="str">
        <f>'HAULING RATES- ODOT Locations'!A27</f>
        <v>Williams</v>
      </c>
      <c r="T855" t="str">
        <f>'HAULING RATES- ODOT Locations'!B27</f>
        <v>1825 Magda Dr., Montpelier</v>
      </c>
      <c r="U855" t="str">
        <f>'HAULING RATES- ODOT Locations'!G$8</f>
        <v>Dump Rock</v>
      </c>
      <c r="V855" s="146">
        <f>'HAULING RATES- ODOT Locations'!G27</f>
        <v>0</v>
      </c>
      <c r="W855" s="131" t="str">
        <f>+'Aggregate, Plant Pick-up'!$C$6</f>
        <v>LAFARGE-MARBLEHEAD "OSBORNE-CLEVELAND"</v>
      </c>
      <c r="X855" s="131" t="str">
        <f>+Plant_Information!$B$10</f>
        <v>04105-28</v>
      </c>
      <c r="Y855" s="131" t="str">
        <f>+Plant_Information!$B$11</f>
        <v>2100 CENTRAL FURNACE ROAD</v>
      </c>
      <c r="Z855" s="131" t="str">
        <f>+Plant_Information!$B$12</f>
        <v>CLEVELAND, OH, 44115</v>
      </c>
      <c r="AA855" s="131" t="str">
        <f>+Plant_Information!$B$13</f>
        <v>12</v>
      </c>
      <c r="AB855" s="131" t="str">
        <f>+Plant_Information!$B$14</f>
        <v>CUY</v>
      </c>
      <c r="AC855" s="70"/>
    </row>
    <row r="856" spans="17:29" x14ac:dyDescent="0.2">
      <c r="Q856" t="str">
        <f>Plant_Information!$B$6</f>
        <v>(INSERT VENDOR NAME HERE)</v>
      </c>
      <c r="R856" t="str">
        <f>'HAULING RATES- ODOT Locations'!$A$17</f>
        <v>District 2</v>
      </c>
      <c r="S856" t="str">
        <f>'HAULING RATES- ODOT Locations'!A28</f>
        <v>Wood</v>
      </c>
      <c r="T856" t="str">
        <f>'HAULING RATES- ODOT Locations'!B28</f>
        <v>955 Mitchell Rd. Bowling Green, Oh 43402</v>
      </c>
      <c r="U856" t="str">
        <f>'HAULING RATES- ODOT Locations'!G$8</f>
        <v>Dump Rock</v>
      </c>
      <c r="V856" s="146">
        <f>'HAULING RATES- ODOT Locations'!G28</f>
        <v>0</v>
      </c>
      <c r="W856" s="131" t="str">
        <f>+'Aggregate, Plant Pick-up'!$C$6</f>
        <v>LAFARGE-MARBLEHEAD "OSBORNE-CLEVELAND"</v>
      </c>
      <c r="X856" s="131" t="str">
        <f>+Plant_Information!$B$10</f>
        <v>04105-28</v>
      </c>
      <c r="Y856" s="131" t="str">
        <f>+Plant_Information!$B$11</f>
        <v>2100 CENTRAL FURNACE ROAD</v>
      </c>
      <c r="Z856" s="131" t="str">
        <f>+Plant_Information!$B$12</f>
        <v>CLEVELAND, OH, 44115</v>
      </c>
      <c r="AA856" s="131" t="str">
        <f>+Plant_Information!$B$13</f>
        <v>12</v>
      </c>
      <c r="AB856" s="131" t="str">
        <f>+Plant_Information!$B$14</f>
        <v>CUY</v>
      </c>
      <c r="AC856" s="70"/>
    </row>
    <row r="857" spans="17:29" x14ac:dyDescent="0.2">
      <c r="Q857" t="str">
        <f>Plant_Information!$B$6</f>
        <v>(INSERT VENDOR NAME HERE)</v>
      </c>
      <c r="R857" t="str">
        <f>'HAULING RATES- ODOT Locations'!$A$17</f>
        <v>District 2</v>
      </c>
      <c r="S857" t="str">
        <f>'HAULING RATES- ODOT Locations'!A29</f>
        <v>Wood</v>
      </c>
      <c r="T857" t="str">
        <f>'HAULING RATES- ODOT Locations'!B29</f>
        <v>1218 Business Park Dr. S, North Baltimore, OH 45872</v>
      </c>
      <c r="U857" t="str">
        <f>'HAULING RATES- ODOT Locations'!G$8</f>
        <v>Dump Rock</v>
      </c>
      <c r="V857" s="146">
        <f>'HAULING RATES- ODOT Locations'!G29</f>
        <v>0</v>
      </c>
      <c r="W857" s="131" t="str">
        <f>+'Aggregate, Plant Pick-up'!$C$6</f>
        <v>LAFARGE-MARBLEHEAD "OSBORNE-CLEVELAND"</v>
      </c>
      <c r="X857" s="131" t="str">
        <f>+Plant_Information!$B$10</f>
        <v>04105-28</v>
      </c>
      <c r="Y857" s="131" t="str">
        <f>+Plant_Information!$B$11</f>
        <v>2100 CENTRAL FURNACE ROAD</v>
      </c>
      <c r="Z857" s="131" t="str">
        <f>+Plant_Information!$B$12</f>
        <v>CLEVELAND, OH, 44115</v>
      </c>
      <c r="AA857" s="131" t="str">
        <f>+Plant_Information!$B$13</f>
        <v>12</v>
      </c>
      <c r="AB857" s="131" t="str">
        <f>+Plant_Information!$B$14</f>
        <v>CUY</v>
      </c>
      <c r="AC857" s="70"/>
    </row>
    <row r="858" spans="17:29" x14ac:dyDescent="0.2">
      <c r="Q858" t="str">
        <f>Plant_Information!$B$6</f>
        <v>(INSERT VENDOR NAME HERE)</v>
      </c>
      <c r="R858" t="str">
        <f>'HAULING RATES- ODOT Locations'!$A$17</f>
        <v>District 2</v>
      </c>
      <c r="S858" t="str">
        <f>'HAULING RATES- ODOT Locations'!A30</f>
        <v>Wood</v>
      </c>
      <c r="T858" t="str">
        <f>'HAULING RATES- ODOT Locations'!B30</f>
        <v>200 Lemoyne Rd., Northwood</v>
      </c>
      <c r="U858" t="str">
        <f>'HAULING RATES- ODOT Locations'!G$8</f>
        <v>Dump Rock</v>
      </c>
      <c r="V858" s="146">
        <f>'HAULING RATES- ODOT Locations'!G30</f>
        <v>0</v>
      </c>
      <c r="W858" s="131" t="str">
        <f>+'Aggregate, Plant Pick-up'!$C$6</f>
        <v>LAFARGE-MARBLEHEAD "OSBORNE-CLEVELAND"</v>
      </c>
      <c r="X858" s="131" t="str">
        <f>+Plant_Information!$B$10</f>
        <v>04105-28</v>
      </c>
      <c r="Y858" s="131" t="str">
        <f>+Plant_Information!$B$11</f>
        <v>2100 CENTRAL FURNACE ROAD</v>
      </c>
      <c r="Z858" s="131" t="str">
        <f>+Plant_Information!$B$12</f>
        <v>CLEVELAND, OH, 44115</v>
      </c>
      <c r="AA858" s="131" t="str">
        <f>+Plant_Information!$B$13</f>
        <v>12</v>
      </c>
      <c r="AB858" s="131" t="str">
        <f>+Plant_Information!$B$14</f>
        <v>CUY</v>
      </c>
      <c r="AC858" s="70"/>
    </row>
    <row r="859" spans="17:29" x14ac:dyDescent="0.2">
      <c r="Q859" t="str">
        <f>Plant_Information!$B$6</f>
        <v>(INSERT VENDOR NAME HERE)</v>
      </c>
      <c r="R859" t="str">
        <f>'HAULING RATES- ODOT Locations'!$A$31</f>
        <v>District 3</v>
      </c>
      <c r="S859" t="str">
        <f>'HAULING RATES- ODOT Locations'!A34</f>
        <v>Ashland</v>
      </c>
      <c r="T859" t="str">
        <f>'HAULING RATES- ODOT Locations'!B34</f>
        <v>946 N. Clark St., Ashland, OH 44805</v>
      </c>
      <c r="U859" t="str">
        <f>'HAULING RATES- ODOT Locations'!G$8</f>
        <v>Dump Rock</v>
      </c>
      <c r="V859" s="146">
        <f>'HAULING RATES- ODOT Locations'!G34</f>
        <v>0</v>
      </c>
      <c r="W859" s="131" t="str">
        <f>+'Aggregate, Plant Pick-up'!$C$6</f>
        <v>LAFARGE-MARBLEHEAD "OSBORNE-CLEVELAND"</v>
      </c>
      <c r="X859" s="131" t="str">
        <f>+Plant_Information!$B$10</f>
        <v>04105-28</v>
      </c>
      <c r="Y859" s="131" t="str">
        <f>+Plant_Information!$B$11</f>
        <v>2100 CENTRAL FURNACE ROAD</v>
      </c>
      <c r="Z859" s="131" t="str">
        <f>+Plant_Information!$B$12</f>
        <v>CLEVELAND, OH, 44115</v>
      </c>
      <c r="AA859" s="131" t="str">
        <f>+Plant_Information!$B$13</f>
        <v>12</v>
      </c>
      <c r="AB859" s="131" t="str">
        <f>+Plant_Information!$B$14</f>
        <v>CUY</v>
      </c>
      <c r="AC859" s="70"/>
    </row>
    <row r="860" spans="17:29" x14ac:dyDescent="0.2">
      <c r="Q860" t="str">
        <f>Plant_Information!$B$6</f>
        <v>(INSERT VENDOR NAME HERE)</v>
      </c>
      <c r="R860" t="str">
        <f>'HAULING RATES- ODOT Locations'!$A$31</f>
        <v>District 3</v>
      </c>
      <c r="S860" t="str">
        <f>'HAULING RATES- ODOT Locations'!A35</f>
        <v>Ashland</v>
      </c>
      <c r="T860" t="str">
        <f>'HAULING RATES- ODOT Locations'!B35</f>
        <v>2595 St. Rt. 39, Perrysville, OH 44864</v>
      </c>
      <c r="U860" t="str">
        <f>'HAULING RATES- ODOT Locations'!G$8</f>
        <v>Dump Rock</v>
      </c>
      <c r="V860" s="146">
        <f>'HAULING RATES- ODOT Locations'!G35</f>
        <v>0</v>
      </c>
      <c r="W860" s="131" t="str">
        <f>+'Aggregate, Plant Pick-up'!$C$6</f>
        <v>LAFARGE-MARBLEHEAD "OSBORNE-CLEVELAND"</v>
      </c>
      <c r="X860" s="131" t="str">
        <f>+Plant_Information!$B$10</f>
        <v>04105-28</v>
      </c>
      <c r="Y860" s="131" t="str">
        <f>+Plant_Information!$B$11</f>
        <v>2100 CENTRAL FURNACE ROAD</v>
      </c>
      <c r="Z860" s="131" t="str">
        <f>+Plant_Information!$B$12</f>
        <v>CLEVELAND, OH, 44115</v>
      </c>
      <c r="AA860" s="131" t="str">
        <f>+Plant_Information!$B$13</f>
        <v>12</v>
      </c>
      <c r="AB860" s="131" t="str">
        <f>+Plant_Information!$B$14</f>
        <v>CUY</v>
      </c>
      <c r="AC860" s="70"/>
    </row>
    <row r="861" spans="17:29" x14ac:dyDescent="0.2">
      <c r="Q861" t="str">
        <f>Plant_Information!$B$6</f>
        <v>(INSERT VENDOR NAME HERE)</v>
      </c>
      <c r="R861" t="str">
        <f>'HAULING RATES- ODOT Locations'!$A$31</f>
        <v>District 3</v>
      </c>
      <c r="S861" t="str">
        <f>'HAULING RATES- ODOT Locations'!A36</f>
        <v>Crawford</v>
      </c>
      <c r="T861" t="str">
        <f>'HAULING RATES- ODOT Locations'!B36</f>
        <v>275 Crossroads Blvd., Bucyrus OH 44820</v>
      </c>
      <c r="U861" t="str">
        <f>'HAULING RATES- ODOT Locations'!G$8</f>
        <v>Dump Rock</v>
      </c>
      <c r="V861" s="146">
        <f>'HAULING RATES- ODOT Locations'!G36</f>
        <v>0</v>
      </c>
      <c r="W861" s="131" t="str">
        <f>+'Aggregate, Plant Pick-up'!$C$6</f>
        <v>LAFARGE-MARBLEHEAD "OSBORNE-CLEVELAND"</v>
      </c>
      <c r="X861" s="131" t="str">
        <f>+Plant_Information!$B$10</f>
        <v>04105-28</v>
      </c>
      <c r="Y861" s="131" t="str">
        <f>+Plant_Information!$B$11</f>
        <v>2100 CENTRAL FURNACE ROAD</v>
      </c>
      <c r="Z861" s="131" t="str">
        <f>+Plant_Information!$B$12</f>
        <v>CLEVELAND, OH, 44115</v>
      </c>
      <c r="AA861" s="131" t="str">
        <f>+Plant_Information!$B$13</f>
        <v>12</v>
      </c>
      <c r="AB861" s="131" t="str">
        <f>+Plant_Information!$B$14</f>
        <v>CUY</v>
      </c>
      <c r="AC861" s="70"/>
    </row>
    <row r="862" spans="17:29" x14ac:dyDescent="0.2">
      <c r="Q862" t="str">
        <f>Plant_Information!$B$6</f>
        <v>(INSERT VENDOR NAME HERE)</v>
      </c>
      <c r="R862" t="str">
        <f>'HAULING RATES- ODOT Locations'!$A$31</f>
        <v>District 3</v>
      </c>
      <c r="S862" t="str">
        <f>'HAULING RATES- ODOT Locations'!A37</f>
        <v>Erie</v>
      </c>
      <c r="T862" t="str">
        <f>'HAULING RATES- ODOT Locations'!B37</f>
        <v>165 South Huron St. , Milan, OH 44846</v>
      </c>
      <c r="U862" t="str">
        <f>'HAULING RATES- ODOT Locations'!G$8</f>
        <v>Dump Rock</v>
      </c>
      <c r="V862" s="146">
        <f>'HAULING RATES- ODOT Locations'!G37</f>
        <v>0</v>
      </c>
      <c r="W862" s="131" t="str">
        <f>+'Aggregate, Plant Pick-up'!$C$6</f>
        <v>LAFARGE-MARBLEHEAD "OSBORNE-CLEVELAND"</v>
      </c>
      <c r="X862" s="131" t="str">
        <f>+Plant_Information!$B$10</f>
        <v>04105-28</v>
      </c>
      <c r="Y862" s="131" t="str">
        <f>+Plant_Information!$B$11</f>
        <v>2100 CENTRAL FURNACE ROAD</v>
      </c>
      <c r="Z862" s="131" t="str">
        <f>+Plant_Information!$B$12</f>
        <v>CLEVELAND, OH, 44115</v>
      </c>
      <c r="AA862" s="131" t="str">
        <f>+Plant_Information!$B$13</f>
        <v>12</v>
      </c>
      <c r="AB862" s="131" t="str">
        <f>+Plant_Information!$B$14</f>
        <v>CUY</v>
      </c>
      <c r="AC862" s="70"/>
    </row>
    <row r="863" spans="17:29" x14ac:dyDescent="0.2">
      <c r="Q863" t="str">
        <f>Plant_Information!$B$6</f>
        <v>(INSERT VENDOR NAME HERE)</v>
      </c>
      <c r="R863" t="str">
        <f>'HAULING RATES- ODOT Locations'!$A$31</f>
        <v>District 3</v>
      </c>
      <c r="S863" t="str">
        <f>'HAULING RATES- ODOT Locations'!A38</f>
        <v>Erie</v>
      </c>
      <c r="T863" t="str">
        <f>'HAULING RATES- ODOT Locations'!B38</f>
        <v>14420 Kneisel Rd., Vermilion, OH 44089</v>
      </c>
      <c r="U863" t="str">
        <f>'HAULING RATES- ODOT Locations'!G$8</f>
        <v>Dump Rock</v>
      </c>
      <c r="V863" s="146">
        <f>'HAULING RATES- ODOT Locations'!G38</f>
        <v>0</v>
      </c>
      <c r="W863" s="131" t="str">
        <f>+'Aggregate, Plant Pick-up'!$C$6</f>
        <v>LAFARGE-MARBLEHEAD "OSBORNE-CLEVELAND"</v>
      </c>
      <c r="X863" s="131" t="str">
        <f>+Plant_Information!$B$10</f>
        <v>04105-28</v>
      </c>
      <c r="Y863" s="131" t="str">
        <f>+Plant_Information!$B$11</f>
        <v>2100 CENTRAL FURNACE ROAD</v>
      </c>
      <c r="Z863" s="131" t="str">
        <f>+Plant_Information!$B$12</f>
        <v>CLEVELAND, OH, 44115</v>
      </c>
      <c r="AA863" s="131" t="str">
        <f>+Plant_Information!$B$13</f>
        <v>12</v>
      </c>
      <c r="AB863" s="131" t="str">
        <f>+Plant_Information!$B$14</f>
        <v>CUY</v>
      </c>
      <c r="AC863" s="70"/>
    </row>
    <row r="864" spans="17:29" x14ac:dyDescent="0.2">
      <c r="Q864" t="str">
        <f>Plant_Information!$B$6</f>
        <v>(INSERT VENDOR NAME HERE)</v>
      </c>
      <c r="R864" t="str">
        <f>'HAULING RATES- ODOT Locations'!$A$31</f>
        <v>District 3</v>
      </c>
      <c r="S864" t="str">
        <f>'HAULING RATES- ODOT Locations'!A39</f>
        <v>Huron</v>
      </c>
      <c r="T864" t="str">
        <f>'HAULING RATES- ODOT Locations'!B39</f>
        <v>760 Dublin Rd., Norwalk, OH 44857</v>
      </c>
      <c r="U864" t="str">
        <f>'HAULING RATES- ODOT Locations'!G$8</f>
        <v>Dump Rock</v>
      </c>
      <c r="V864" s="146">
        <f>'HAULING RATES- ODOT Locations'!G39</f>
        <v>0</v>
      </c>
      <c r="W864" s="131" t="str">
        <f>+'Aggregate, Plant Pick-up'!$C$6</f>
        <v>LAFARGE-MARBLEHEAD "OSBORNE-CLEVELAND"</v>
      </c>
      <c r="X864" s="131" t="str">
        <f>+Plant_Information!$B$10</f>
        <v>04105-28</v>
      </c>
      <c r="Y864" s="131" t="str">
        <f>+Plant_Information!$B$11</f>
        <v>2100 CENTRAL FURNACE ROAD</v>
      </c>
      <c r="Z864" s="131" t="str">
        <f>+Plant_Information!$B$12</f>
        <v>CLEVELAND, OH, 44115</v>
      </c>
      <c r="AA864" s="131" t="str">
        <f>+Plant_Information!$B$13</f>
        <v>12</v>
      </c>
      <c r="AB864" s="131" t="str">
        <f>+Plant_Information!$B$14</f>
        <v>CUY</v>
      </c>
      <c r="AC864" s="70"/>
    </row>
    <row r="865" spans="17:29" x14ac:dyDescent="0.2">
      <c r="Q865" t="str">
        <f>Plant_Information!$B$6</f>
        <v>(INSERT VENDOR NAME HERE)</v>
      </c>
      <c r="R865" t="str">
        <f>'HAULING RATES- ODOT Locations'!$A$31</f>
        <v>District 3</v>
      </c>
      <c r="S865" t="str">
        <f>'HAULING RATES- ODOT Locations'!A40</f>
        <v>Huron</v>
      </c>
      <c r="T865" t="str">
        <f>'HAULING RATES- ODOT Locations'!B40</f>
        <v>3000 Sandusky St. (route 61) Plymouth, Ohio 44865</v>
      </c>
      <c r="U865" t="str">
        <f>'HAULING RATES- ODOT Locations'!G$8</f>
        <v>Dump Rock</v>
      </c>
      <c r="V865" s="146">
        <f>'HAULING RATES- ODOT Locations'!G40</f>
        <v>0</v>
      </c>
      <c r="W865" s="131" t="str">
        <f>+'Aggregate, Plant Pick-up'!$C$6</f>
        <v>LAFARGE-MARBLEHEAD "OSBORNE-CLEVELAND"</v>
      </c>
      <c r="X865" s="131" t="str">
        <f>+Plant_Information!$B$10</f>
        <v>04105-28</v>
      </c>
      <c r="Y865" s="131" t="str">
        <f>+Plant_Information!$B$11</f>
        <v>2100 CENTRAL FURNACE ROAD</v>
      </c>
      <c r="Z865" s="131" t="str">
        <f>+Plant_Information!$B$12</f>
        <v>CLEVELAND, OH, 44115</v>
      </c>
      <c r="AA865" s="131" t="str">
        <f>+Plant_Information!$B$13</f>
        <v>12</v>
      </c>
      <c r="AB865" s="131" t="str">
        <f>+Plant_Information!$B$14</f>
        <v>CUY</v>
      </c>
      <c r="AC865" s="70"/>
    </row>
    <row r="866" spans="17:29" x14ac:dyDescent="0.2">
      <c r="Q866" t="str">
        <f>Plant_Information!$B$6</f>
        <v>(INSERT VENDOR NAME HERE)</v>
      </c>
      <c r="R866" t="str">
        <f>'HAULING RATES- ODOT Locations'!$A$31</f>
        <v>District 3</v>
      </c>
      <c r="S866" t="str">
        <f>'HAULING RATES- ODOT Locations'!A41</f>
        <v>Lorain</v>
      </c>
      <c r="T866" t="str">
        <f>'HAULING RATES- ODOT Locations'!B41</f>
        <v>405 West Lorain St. &amp; S.R. 511, Oberlin, OH 44074</v>
      </c>
      <c r="U866" t="str">
        <f>'HAULING RATES- ODOT Locations'!G$8</f>
        <v>Dump Rock</v>
      </c>
      <c r="V866" s="146">
        <f>'HAULING RATES- ODOT Locations'!G41</f>
        <v>0</v>
      </c>
      <c r="W866" s="131" t="str">
        <f>+'Aggregate, Plant Pick-up'!$C$6</f>
        <v>LAFARGE-MARBLEHEAD "OSBORNE-CLEVELAND"</v>
      </c>
      <c r="X866" s="131" t="str">
        <f>+Plant_Information!$B$10</f>
        <v>04105-28</v>
      </c>
      <c r="Y866" s="131" t="str">
        <f>+Plant_Information!$B$11</f>
        <v>2100 CENTRAL FURNACE ROAD</v>
      </c>
      <c r="Z866" s="131" t="str">
        <f>+Plant_Information!$B$12</f>
        <v>CLEVELAND, OH, 44115</v>
      </c>
      <c r="AA866" s="131" t="str">
        <f>+Plant_Information!$B$13</f>
        <v>12</v>
      </c>
      <c r="AB866" s="131" t="str">
        <f>+Plant_Information!$B$14</f>
        <v>CUY</v>
      </c>
      <c r="AC866" s="70"/>
    </row>
    <row r="867" spans="17:29" x14ac:dyDescent="0.2">
      <c r="Q867" t="str">
        <f>Plant_Information!$B$6</f>
        <v>(INSERT VENDOR NAME HERE)</v>
      </c>
      <c r="R867" t="str">
        <f>'HAULING RATES- ODOT Locations'!$A$31</f>
        <v>District 3</v>
      </c>
      <c r="S867" t="str">
        <f>'HAULING RATES- ODOT Locations'!A42</f>
        <v>Lorain</v>
      </c>
      <c r="T867" t="str">
        <f>'HAULING RATES- ODOT Locations'!B42</f>
        <v>1749 Moore Rd., Avon, OH 44011</v>
      </c>
      <c r="U867" t="str">
        <f>'HAULING RATES- ODOT Locations'!G$8</f>
        <v>Dump Rock</v>
      </c>
      <c r="V867" s="146">
        <f>'HAULING RATES- ODOT Locations'!G42</f>
        <v>0</v>
      </c>
      <c r="W867" s="131" t="str">
        <f>+'Aggregate, Plant Pick-up'!$C$6</f>
        <v>LAFARGE-MARBLEHEAD "OSBORNE-CLEVELAND"</v>
      </c>
      <c r="X867" s="131" t="str">
        <f>+Plant_Information!$B$10</f>
        <v>04105-28</v>
      </c>
      <c r="Y867" s="131" t="str">
        <f>+Plant_Information!$B$11</f>
        <v>2100 CENTRAL FURNACE ROAD</v>
      </c>
      <c r="Z867" s="131" t="str">
        <f>+Plant_Information!$B$12</f>
        <v>CLEVELAND, OH, 44115</v>
      </c>
      <c r="AA867" s="131" t="str">
        <f>+Plant_Information!$B$13</f>
        <v>12</v>
      </c>
      <c r="AB867" s="131" t="str">
        <f>+Plant_Information!$B$14</f>
        <v>CUY</v>
      </c>
      <c r="AC867" s="70"/>
    </row>
    <row r="868" spans="17:29" x14ac:dyDescent="0.2">
      <c r="Q868" t="str">
        <f>Plant_Information!$B$6</f>
        <v>(INSERT VENDOR NAME HERE)</v>
      </c>
      <c r="R868" t="str">
        <f>'HAULING RATES- ODOT Locations'!$A$31</f>
        <v>District 3</v>
      </c>
      <c r="S868" t="str">
        <f>'HAULING RATES- ODOT Locations'!A43</f>
        <v>Lorain</v>
      </c>
      <c r="T868" t="str">
        <f>'HAULING RATES- ODOT Locations'!B43</f>
        <v>1654 South Avon Belden Road, Grafton, Ohio 44044</v>
      </c>
      <c r="U868" t="str">
        <f>'HAULING RATES- ODOT Locations'!G$8</f>
        <v>Dump Rock</v>
      </c>
      <c r="V868" s="146">
        <f>'HAULING RATES- ODOT Locations'!G43</f>
        <v>0</v>
      </c>
      <c r="W868" s="131" t="str">
        <f>+'Aggregate, Plant Pick-up'!$C$6</f>
        <v>LAFARGE-MARBLEHEAD "OSBORNE-CLEVELAND"</v>
      </c>
      <c r="X868" s="131" t="str">
        <f>+Plant_Information!$B$10</f>
        <v>04105-28</v>
      </c>
      <c r="Y868" s="131" t="str">
        <f>+Plant_Information!$B$11</f>
        <v>2100 CENTRAL FURNACE ROAD</v>
      </c>
      <c r="Z868" s="131" t="str">
        <f>+Plant_Information!$B$12</f>
        <v>CLEVELAND, OH, 44115</v>
      </c>
      <c r="AA868" s="131" t="str">
        <f>+Plant_Information!$B$13</f>
        <v>12</v>
      </c>
      <c r="AB868" s="131" t="str">
        <f>+Plant_Information!$B$14</f>
        <v>CUY</v>
      </c>
      <c r="AC868" s="70"/>
    </row>
    <row r="869" spans="17:29" x14ac:dyDescent="0.2">
      <c r="Q869" t="str">
        <f>Plant_Information!$B$6</f>
        <v>(INSERT VENDOR NAME HERE)</v>
      </c>
      <c r="R869" t="str">
        <f>'HAULING RATES- ODOT Locations'!$A$31</f>
        <v>District 3</v>
      </c>
      <c r="S869" t="str">
        <f>'HAULING RATES- ODOT Locations'!A44</f>
        <v>Medina</v>
      </c>
      <c r="T869" t="str">
        <f>'HAULING RATES- ODOT Locations'!B44</f>
        <v>3220 Medina Rd. &amp; St. Rt. 18, Medina, OH 44256</v>
      </c>
      <c r="U869" t="str">
        <f>'HAULING RATES- ODOT Locations'!G$8</f>
        <v>Dump Rock</v>
      </c>
      <c r="V869" s="146">
        <f>'HAULING RATES- ODOT Locations'!G44</f>
        <v>0</v>
      </c>
      <c r="W869" s="131" t="str">
        <f>+'Aggregate, Plant Pick-up'!$C$6</f>
        <v>LAFARGE-MARBLEHEAD "OSBORNE-CLEVELAND"</v>
      </c>
      <c r="X869" s="131" t="str">
        <f>+Plant_Information!$B$10</f>
        <v>04105-28</v>
      </c>
      <c r="Y869" s="131" t="str">
        <f>+Plant_Information!$B$11</f>
        <v>2100 CENTRAL FURNACE ROAD</v>
      </c>
      <c r="Z869" s="131" t="str">
        <f>+Plant_Information!$B$12</f>
        <v>CLEVELAND, OH, 44115</v>
      </c>
      <c r="AA869" s="131" t="str">
        <f>+Plant_Information!$B$13</f>
        <v>12</v>
      </c>
      <c r="AB869" s="131" t="str">
        <f>+Plant_Information!$B$14</f>
        <v>CUY</v>
      </c>
      <c r="AC869" s="70"/>
    </row>
    <row r="870" spans="17:29" x14ac:dyDescent="0.2">
      <c r="Q870" t="str">
        <f>Plant_Information!$B$6</f>
        <v>(INSERT VENDOR NAME HERE)</v>
      </c>
      <c r="R870" t="str">
        <f>'HAULING RATES- ODOT Locations'!$A$31</f>
        <v>District 3</v>
      </c>
      <c r="S870" t="str">
        <f>'HAULING RATES- ODOT Locations'!A45</f>
        <v>Medina</v>
      </c>
      <c r="T870" t="str">
        <f>'HAULING RATES- ODOT Locations'!B45</f>
        <v>10224 Avon Lake Rd, Burbank, OH 44214</v>
      </c>
      <c r="U870" t="str">
        <f>'HAULING RATES- ODOT Locations'!G$8</f>
        <v>Dump Rock</v>
      </c>
      <c r="V870" s="146">
        <f>'HAULING RATES- ODOT Locations'!G45</f>
        <v>0</v>
      </c>
      <c r="W870" s="131" t="str">
        <f>+'Aggregate, Plant Pick-up'!$C$6</f>
        <v>LAFARGE-MARBLEHEAD "OSBORNE-CLEVELAND"</v>
      </c>
      <c r="X870" s="131" t="str">
        <f>+Plant_Information!$B$10</f>
        <v>04105-28</v>
      </c>
      <c r="Y870" s="131" t="str">
        <f>+Plant_Information!$B$11</f>
        <v>2100 CENTRAL FURNACE ROAD</v>
      </c>
      <c r="Z870" s="131" t="str">
        <f>+Plant_Information!$B$12</f>
        <v>CLEVELAND, OH, 44115</v>
      </c>
      <c r="AA870" s="131" t="str">
        <f>+Plant_Information!$B$13</f>
        <v>12</v>
      </c>
      <c r="AB870" s="131" t="str">
        <f>+Plant_Information!$B$14</f>
        <v>CUY</v>
      </c>
      <c r="AC870" s="70"/>
    </row>
    <row r="871" spans="17:29" x14ac:dyDescent="0.2">
      <c r="Q871" t="str">
        <f>Plant_Information!$B$6</f>
        <v>(INSERT VENDOR NAME HERE)</v>
      </c>
      <c r="R871" t="str">
        <f>'HAULING RATES- ODOT Locations'!$A$31</f>
        <v>District 3</v>
      </c>
      <c r="S871" t="str">
        <f>'HAULING RATES- ODOT Locations'!A46</f>
        <v>Medina</v>
      </c>
      <c r="T871" t="str">
        <f>'HAULING RATES- ODOT Locations'!B46</f>
        <v>4993 Atlantic Drive Seville Ohio, 44273</v>
      </c>
      <c r="U871" t="str">
        <f>'HAULING RATES- ODOT Locations'!G$8</f>
        <v>Dump Rock</v>
      </c>
      <c r="V871" s="146">
        <f>'HAULING RATES- ODOT Locations'!G46</f>
        <v>0</v>
      </c>
      <c r="W871" s="131" t="str">
        <f>+'Aggregate, Plant Pick-up'!$C$6</f>
        <v>LAFARGE-MARBLEHEAD "OSBORNE-CLEVELAND"</v>
      </c>
      <c r="X871" s="131" t="str">
        <f>+Plant_Information!$B$10</f>
        <v>04105-28</v>
      </c>
      <c r="Y871" s="131" t="str">
        <f>+Plant_Information!$B$11</f>
        <v>2100 CENTRAL FURNACE ROAD</v>
      </c>
      <c r="Z871" s="131" t="str">
        <f>+Plant_Information!$B$12</f>
        <v>CLEVELAND, OH, 44115</v>
      </c>
      <c r="AA871" s="131" t="str">
        <f>+Plant_Information!$B$13</f>
        <v>12</v>
      </c>
      <c r="AB871" s="131" t="str">
        <f>+Plant_Information!$B$14</f>
        <v>CUY</v>
      </c>
      <c r="AC871" s="70"/>
    </row>
    <row r="872" spans="17:29" x14ac:dyDescent="0.2">
      <c r="Q872" t="str">
        <f>Plant_Information!$B$6</f>
        <v>(INSERT VENDOR NAME HERE)</v>
      </c>
      <c r="R872" t="str">
        <f>'HAULING RATES- ODOT Locations'!$A$31</f>
        <v>District 3</v>
      </c>
      <c r="S872" t="str">
        <f>'HAULING RATES- ODOT Locations'!A47</f>
        <v>Richland</v>
      </c>
      <c r="T872" t="str">
        <f>'HAULING RATES- ODOT Locations'!B47</f>
        <v>1256 West 4th St., Mansfield, OH 44906</v>
      </c>
      <c r="U872" t="str">
        <f>'HAULING RATES- ODOT Locations'!G$8</f>
        <v>Dump Rock</v>
      </c>
      <c r="V872" s="146">
        <f>'HAULING RATES- ODOT Locations'!G47</f>
        <v>0</v>
      </c>
      <c r="W872" s="131" t="str">
        <f>+'Aggregate, Plant Pick-up'!$C$6</f>
        <v>LAFARGE-MARBLEHEAD "OSBORNE-CLEVELAND"</v>
      </c>
      <c r="X872" s="131" t="str">
        <f>+Plant_Information!$B$10</f>
        <v>04105-28</v>
      </c>
      <c r="Y872" s="131" t="str">
        <f>+Plant_Information!$B$11</f>
        <v>2100 CENTRAL FURNACE ROAD</v>
      </c>
      <c r="Z872" s="131" t="str">
        <f>+Plant_Information!$B$12</f>
        <v>CLEVELAND, OH, 44115</v>
      </c>
      <c r="AA872" s="131" t="str">
        <f>+Plant_Information!$B$13</f>
        <v>12</v>
      </c>
      <c r="AB872" s="131" t="str">
        <f>+Plant_Information!$B$14</f>
        <v>CUY</v>
      </c>
      <c r="AC872" s="70"/>
    </row>
    <row r="873" spans="17:29" x14ac:dyDescent="0.2">
      <c r="Q873" t="str">
        <f>Plant_Information!$B$6</f>
        <v>(INSERT VENDOR NAME HERE)</v>
      </c>
      <c r="R873" t="str">
        <f>'HAULING RATES- ODOT Locations'!$A$31</f>
        <v>District 3</v>
      </c>
      <c r="S873" t="str">
        <f>'HAULING RATES- ODOT Locations'!A48</f>
        <v>Richland</v>
      </c>
      <c r="T873" t="str">
        <f>'HAULING RATES- ODOT Locations'!B48</f>
        <v>Lexington OP, 808 Kochheiser Rd., Bellville,, OH 44813</v>
      </c>
      <c r="U873" t="str">
        <f>'HAULING RATES- ODOT Locations'!G$8</f>
        <v>Dump Rock</v>
      </c>
      <c r="V873" s="146">
        <f>'HAULING RATES- ODOT Locations'!G48</f>
        <v>0</v>
      </c>
      <c r="W873" s="131" t="str">
        <f>+'Aggregate, Plant Pick-up'!$C$6</f>
        <v>LAFARGE-MARBLEHEAD "OSBORNE-CLEVELAND"</v>
      </c>
      <c r="X873" s="131" t="str">
        <f>+Plant_Information!$B$10</f>
        <v>04105-28</v>
      </c>
      <c r="Y873" s="131" t="str">
        <f>+Plant_Information!$B$11</f>
        <v>2100 CENTRAL FURNACE ROAD</v>
      </c>
      <c r="Z873" s="131" t="str">
        <f>+Plant_Information!$B$12</f>
        <v>CLEVELAND, OH, 44115</v>
      </c>
      <c r="AA873" s="131" t="str">
        <f>+Plant_Information!$B$13</f>
        <v>12</v>
      </c>
      <c r="AB873" s="131" t="str">
        <f>+Plant_Information!$B$14</f>
        <v>CUY</v>
      </c>
      <c r="AC873" s="70"/>
    </row>
    <row r="874" spans="17:29" x14ac:dyDescent="0.2">
      <c r="Q874" t="str">
        <f>Plant_Information!$B$6</f>
        <v>(INSERT VENDOR NAME HERE)</v>
      </c>
      <c r="R874" t="str">
        <f>'HAULING RATES- ODOT Locations'!$A$31</f>
        <v>District 3</v>
      </c>
      <c r="S874" t="str">
        <f>'HAULING RATES- ODOT Locations'!A49</f>
        <v>Wayne</v>
      </c>
      <c r="T874" t="str">
        <f>'HAULING RATES- ODOT Locations'!B49</f>
        <v>1661 Geyers Chapel Rd., Wooster, OH 44691</v>
      </c>
      <c r="U874" t="str">
        <f>'HAULING RATES- ODOT Locations'!G$8</f>
        <v>Dump Rock</v>
      </c>
      <c r="V874" s="146">
        <f>'HAULING RATES- ODOT Locations'!G49</f>
        <v>0</v>
      </c>
      <c r="W874" s="131" t="str">
        <f>+'Aggregate, Plant Pick-up'!$C$6</f>
        <v>LAFARGE-MARBLEHEAD "OSBORNE-CLEVELAND"</v>
      </c>
      <c r="X874" s="131" t="str">
        <f>+Plant_Information!$B$10</f>
        <v>04105-28</v>
      </c>
      <c r="Y874" s="131" t="str">
        <f>+Plant_Information!$B$11</f>
        <v>2100 CENTRAL FURNACE ROAD</v>
      </c>
      <c r="Z874" s="131" t="str">
        <f>+Plant_Information!$B$12</f>
        <v>CLEVELAND, OH, 44115</v>
      </c>
      <c r="AA874" s="131" t="str">
        <f>+Plant_Information!$B$13</f>
        <v>12</v>
      </c>
      <c r="AB874" s="131" t="str">
        <f>+Plant_Information!$B$14</f>
        <v>CUY</v>
      </c>
      <c r="AC874" s="70"/>
    </row>
    <row r="875" spans="17:29" x14ac:dyDescent="0.2">
      <c r="Q875" t="str">
        <f>Plant_Information!$B$6</f>
        <v>(INSERT VENDOR NAME HERE)</v>
      </c>
      <c r="R875" t="str">
        <f>'HAULING RATES- ODOT Locations'!$A$50</f>
        <v>District 4</v>
      </c>
      <c r="S875" t="str">
        <f>'HAULING RATES- ODOT Locations'!A53</f>
        <v>Ashtabula</v>
      </c>
      <c r="T875" t="str">
        <f>'HAULING RATES- ODOT Locations'!B53</f>
        <v>492 Seven Hills Rd., Ashtabula, OH  44004</v>
      </c>
      <c r="U875" t="str">
        <f>'HAULING RATES- ODOT Locations'!G$8</f>
        <v>Dump Rock</v>
      </c>
      <c r="V875" s="146">
        <f>'HAULING RATES- ODOT Locations'!G53</f>
        <v>0</v>
      </c>
      <c r="W875" s="131" t="str">
        <f>+'Aggregate, Plant Pick-up'!$C$6</f>
        <v>LAFARGE-MARBLEHEAD "OSBORNE-CLEVELAND"</v>
      </c>
      <c r="X875" s="131" t="str">
        <f>+Plant_Information!$B$10</f>
        <v>04105-28</v>
      </c>
      <c r="Y875" s="131" t="str">
        <f>+Plant_Information!$B$11</f>
        <v>2100 CENTRAL FURNACE ROAD</v>
      </c>
      <c r="Z875" s="131" t="str">
        <f>+Plant_Information!$B$12</f>
        <v>CLEVELAND, OH, 44115</v>
      </c>
      <c r="AA875" s="131" t="str">
        <f>+Plant_Information!$B$13</f>
        <v>12</v>
      </c>
      <c r="AB875" s="131" t="str">
        <f>+Plant_Information!$B$14</f>
        <v>CUY</v>
      </c>
      <c r="AC875" s="70"/>
    </row>
    <row r="876" spans="17:29" x14ac:dyDescent="0.2">
      <c r="Q876" t="str">
        <f>Plant_Information!$B$6</f>
        <v>(INSERT VENDOR NAME HERE)</v>
      </c>
      <c r="R876" t="str">
        <f>'HAULING RATES- ODOT Locations'!$A$50</f>
        <v>District 4</v>
      </c>
      <c r="S876" t="str">
        <f>'HAULING RATES- ODOT Locations'!A54</f>
        <v>Ashtabula</v>
      </c>
      <c r="T876" t="str">
        <f>'HAULING RATES- ODOT Locations'!B54</f>
        <v>879 SR 7, Conneaut, OH  44030</v>
      </c>
      <c r="U876" t="str">
        <f>'HAULING RATES- ODOT Locations'!G$8</f>
        <v>Dump Rock</v>
      </c>
      <c r="V876" s="146">
        <f>'HAULING RATES- ODOT Locations'!G54</f>
        <v>0</v>
      </c>
      <c r="W876" s="131" t="str">
        <f>+'Aggregate, Plant Pick-up'!$C$6</f>
        <v>LAFARGE-MARBLEHEAD "OSBORNE-CLEVELAND"</v>
      </c>
      <c r="X876" s="131" t="str">
        <f>+Plant_Information!$B$10</f>
        <v>04105-28</v>
      </c>
      <c r="Y876" s="131" t="str">
        <f>+Plant_Information!$B$11</f>
        <v>2100 CENTRAL FURNACE ROAD</v>
      </c>
      <c r="Z876" s="131" t="str">
        <f>+Plant_Information!$B$12</f>
        <v>CLEVELAND, OH, 44115</v>
      </c>
      <c r="AA876" s="131" t="str">
        <f>+Plant_Information!$B$13</f>
        <v>12</v>
      </c>
      <c r="AB876" s="131" t="str">
        <f>+Plant_Information!$B$14</f>
        <v>CUY</v>
      </c>
      <c r="AC876" s="70"/>
    </row>
    <row r="877" spans="17:29" x14ac:dyDescent="0.2">
      <c r="Q877" t="str">
        <f>Plant_Information!$B$6</f>
        <v>(INSERT VENDOR NAME HERE)</v>
      </c>
      <c r="R877" t="str">
        <f>'HAULING RATES- ODOT Locations'!$A$50</f>
        <v>District 4</v>
      </c>
      <c r="S877" t="str">
        <f>'HAULING RATES- ODOT Locations'!A55</f>
        <v>Ashtabula</v>
      </c>
      <c r="T877" t="str">
        <f>'HAULING RATES- ODOT Locations'!B55</f>
        <v>2325 SR 193, Dorset, OH   44032</v>
      </c>
      <c r="U877" t="str">
        <f>'HAULING RATES- ODOT Locations'!G$8</f>
        <v>Dump Rock</v>
      </c>
      <c r="V877" s="146">
        <f>'HAULING RATES- ODOT Locations'!G55</f>
        <v>0</v>
      </c>
      <c r="W877" s="131" t="str">
        <f>+'Aggregate, Plant Pick-up'!$C$6</f>
        <v>LAFARGE-MARBLEHEAD "OSBORNE-CLEVELAND"</v>
      </c>
      <c r="X877" s="131" t="str">
        <f>+Plant_Information!$B$10</f>
        <v>04105-28</v>
      </c>
      <c r="Y877" s="131" t="str">
        <f>+Plant_Information!$B$11</f>
        <v>2100 CENTRAL FURNACE ROAD</v>
      </c>
      <c r="Z877" s="131" t="str">
        <f>+Plant_Information!$B$12</f>
        <v>CLEVELAND, OH, 44115</v>
      </c>
      <c r="AA877" s="131" t="str">
        <f>+Plant_Information!$B$13</f>
        <v>12</v>
      </c>
      <c r="AB877" s="131" t="str">
        <f>+Plant_Information!$B$14</f>
        <v>CUY</v>
      </c>
      <c r="AC877" s="70"/>
    </row>
    <row r="878" spans="17:29" x14ac:dyDescent="0.2">
      <c r="Q878" t="str">
        <f>Plant_Information!$B$6</f>
        <v>(INSERT VENDOR NAME HERE)</v>
      </c>
      <c r="R878" t="str">
        <f>'HAULING RATES- ODOT Locations'!$A$50</f>
        <v>District 4</v>
      </c>
      <c r="S878" t="str">
        <f>'HAULING RATES- ODOT Locations'!A56</f>
        <v>Ashtabula</v>
      </c>
      <c r="T878" t="str">
        <f>'HAULING RATES- ODOT Locations'!B56</f>
        <v>Harpersfield OP, 5420 SR 534, Geneva, OH    44041</v>
      </c>
      <c r="U878" t="str">
        <f>'HAULING RATES- ODOT Locations'!G$8</f>
        <v>Dump Rock</v>
      </c>
      <c r="V878" s="146">
        <f>'HAULING RATES- ODOT Locations'!G56</f>
        <v>0</v>
      </c>
      <c r="W878" s="131" t="str">
        <f>+'Aggregate, Plant Pick-up'!$C$6</f>
        <v>LAFARGE-MARBLEHEAD "OSBORNE-CLEVELAND"</v>
      </c>
      <c r="X878" s="131" t="str">
        <f>+Plant_Information!$B$10</f>
        <v>04105-28</v>
      </c>
      <c r="Y878" s="131" t="str">
        <f>+Plant_Information!$B$11</f>
        <v>2100 CENTRAL FURNACE ROAD</v>
      </c>
      <c r="Z878" s="131" t="str">
        <f>+Plant_Information!$B$12</f>
        <v>CLEVELAND, OH, 44115</v>
      </c>
      <c r="AA878" s="131" t="str">
        <f>+Plant_Information!$B$13</f>
        <v>12</v>
      </c>
      <c r="AB878" s="131" t="str">
        <f>+Plant_Information!$B$14</f>
        <v>CUY</v>
      </c>
      <c r="AC878" s="70"/>
    </row>
    <row r="879" spans="17:29" x14ac:dyDescent="0.2">
      <c r="Q879" t="str">
        <f>Plant_Information!$B$6</f>
        <v>(INSERT VENDOR NAME HERE)</v>
      </c>
      <c r="R879" t="str">
        <f>'HAULING RATES- ODOT Locations'!$A$50</f>
        <v>District 4</v>
      </c>
      <c r="S879" t="str">
        <f>'HAULING RATES- ODOT Locations'!A57</f>
        <v>Ashtabula</v>
      </c>
      <c r="T879" t="str">
        <f>'HAULING RATES- ODOT Locations'!B57</f>
        <v>5451 SR 45, Rome, OH   44085</v>
      </c>
      <c r="U879" t="str">
        <f>'HAULING RATES- ODOT Locations'!G$8</f>
        <v>Dump Rock</v>
      </c>
      <c r="V879" s="146">
        <f>'HAULING RATES- ODOT Locations'!G57</f>
        <v>0</v>
      </c>
      <c r="W879" s="131" t="str">
        <f>+'Aggregate, Plant Pick-up'!$C$6</f>
        <v>LAFARGE-MARBLEHEAD "OSBORNE-CLEVELAND"</v>
      </c>
      <c r="X879" s="131" t="str">
        <f>+Plant_Information!$B$10</f>
        <v>04105-28</v>
      </c>
      <c r="Y879" s="131" t="str">
        <f>+Plant_Information!$B$11</f>
        <v>2100 CENTRAL FURNACE ROAD</v>
      </c>
      <c r="Z879" s="131" t="str">
        <f>+Plant_Information!$B$12</f>
        <v>CLEVELAND, OH, 44115</v>
      </c>
      <c r="AA879" s="131" t="str">
        <f>+Plant_Information!$B$13</f>
        <v>12</v>
      </c>
      <c r="AB879" s="131" t="str">
        <f>+Plant_Information!$B$14</f>
        <v>CUY</v>
      </c>
      <c r="AC879" s="70"/>
    </row>
    <row r="880" spans="17:29" x14ac:dyDescent="0.2">
      <c r="Q880" t="str">
        <f>Plant_Information!$B$6</f>
        <v>(INSERT VENDOR NAME HERE)</v>
      </c>
      <c r="R880" t="str">
        <f>'HAULING RATES- ODOT Locations'!$A$50</f>
        <v>District 4</v>
      </c>
      <c r="S880" t="str">
        <f>'HAULING RATES- ODOT Locations'!A58</f>
        <v>Ashtabula</v>
      </c>
      <c r="T880" t="str">
        <f>'HAULING RATES- ODOT Locations'!B58</f>
        <v>5820 SR 322, Williamsfield, OH  44093</v>
      </c>
      <c r="U880" t="str">
        <f>'HAULING RATES- ODOT Locations'!G$8</f>
        <v>Dump Rock</v>
      </c>
      <c r="V880" s="146">
        <f>'HAULING RATES- ODOT Locations'!G58</f>
        <v>0</v>
      </c>
      <c r="W880" s="131" t="str">
        <f>+'Aggregate, Plant Pick-up'!$C$6</f>
        <v>LAFARGE-MARBLEHEAD "OSBORNE-CLEVELAND"</v>
      </c>
      <c r="X880" s="131" t="str">
        <f>+Plant_Information!$B$10</f>
        <v>04105-28</v>
      </c>
      <c r="Y880" s="131" t="str">
        <f>+Plant_Information!$B$11</f>
        <v>2100 CENTRAL FURNACE ROAD</v>
      </c>
      <c r="Z880" s="131" t="str">
        <f>+Plant_Information!$B$12</f>
        <v>CLEVELAND, OH, 44115</v>
      </c>
      <c r="AA880" s="131" t="str">
        <f>+Plant_Information!$B$13</f>
        <v>12</v>
      </c>
      <c r="AB880" s="131" t="str">
        <f>+Plant_Information!$B$14</f>
        <v>CUY</v>
      </c>
      <c r="AC880" s="70"/>
    </row>
    <row r="881" spans="17:29" x14ac:dyDescent="0.2">
      <c r="Q881" t="str">
        <f>Plant_Information!$B$6</f>
        <v>(INSERT VENDOR NAME HERE)</v>
      </c>
      <c r="R881" t="str">
        <f>'HAULING RATES- ODOT Locations'!$A$50</f>
        <v>District 4</v>
      </c>
      <c r="S881" t="str">
        <f>'HAULING RATES- ODOT Locations'!A59</f>
        <v>Mahoning</v>
      </c>
      <c r="T881" t="str">
        <f>'HAULING RATES- ODOT Locations'!B59</f>
        <v>401 W. Main St., Canfield, OH  44406</v>
      </c>
      <c r="U881" t="str">
        <f>'HAULING RATES- ODOT Locations'!G$8</f>
        <v>Dump Rock</v>
      </c>
      <c r="V881" s="146">
        <f>'HAULING RATES- ODOT Locations'!G59</f>
        <v>0</v>
      </c>
      <c r="W881" s="131" t="str">
        <f>+'Aggregate, Plant Pick-up'!$C$6</f>
        <v>LAFARGE-MARBLEHEAD "OSBORNE-CLEVELAND"</v>
      </c>
      <c r="X881" s="131" t="str">
        <f>+Plant_Information!$B$10</f>
        <v>04105-28</v>
      </c>
      <c r="Y881" s="131" t="str">
        <f>+Plant_Information!$B$11</f>
        <v>2100 CENTRAL FURNACE ROAD</v>
      </c>
      <c r="Z881" s="131" t="str">
        <f>+Plant_Information!$B$12</f>
        <v>CLEVELAND, OH, 44115</v>
      </c>
      <c r="AA881" s="131" t="str">
        <f>+Plant_Information!$B$13</f>
        <v>12</v>
      </c>
      <c r="AB881" s="131" t="str">
        <f>+Plant_Information!$B$14</f>
        <v>CUY</v>
      </c>
      <c r="AC881" s="70"/>
    </row>
    <row r="882" spans="17:29" x14ac:dyDescent="0.2">
      <c r="Q882" t="str">
        <f>Plant_Information!$B$6</f>
        <v>(INSERT VENDOR NAME HERE)</v>
      </c>
      <c r="R882" t="str">
        <f>'HAULING RATES- ODOT Locations'!$A$50</f>
        <v>District 4</v>
      </c>
      <c r="S882" t="str">
        <f>'HAULING RATES- ODOT Locations'!A60</f>
        <v>Mahoning</v>
      </c>
      <c r="T882" t="str">
        <f>'HAULING RATES- ODOT Locations'!B60</f>
        <v>385 N. Bailey Rd., North Jackson, OH   44451</v>
      </c>
      <c r="U882" t="str">
        <f>'HAULING RATES- ODOT Locations'!G$8</f>
        <v>Dump Rock</v>
      </c>
      <c r="V882" s="146">
        <f>'HAULING RATES- ODOT Locations'!G60</f>
        <v>0</v>
      </c>
      <c r="W882" s="131" t="str">
        <f>+'Aggregate, Plant Pick-up'!$C$6</f>
        <v>LAFARGE-MARBLEHEAD "OSBORNE-CLEVELAND"</v>
      </c>
      <c r="X882" s="131" t="str">
        <f>+Plant_Information!$B$10</f>
        <v>04105-28</v>
      </c>
      <c r="Y882" s="131" t="str">
        <f>+Plant_Information!$B$11</f>
        <v>2100 CENTRAL FURNACE ROAD</v>
      </c>
      <c r="Z882" s="131" t="str">
        <f>+Plant_Information!$B$12</f>
        <v>CLEVELAND, OH, 44115</v>
      </c>
      <c r="AA882" s="131" t="str">
        <f>+Plant_Information!$B$13</f>
        <v>12</v>
      </c>
      <c r="AB882" s="131" t="str">
        <f>+Plant_Information!$B$14</f>
        <v>CUY</v>
      </c>
      <c r="AC882" s="70"/>
    </row>
    <row r="883" spans="17:29" x14ac:dyDescent="0.2">
      <c r="Q883" t="str">
        <f>Plant_Information!$B$6</f>
        <v>(INSERT VENDOR NAME HERE)</v>
      </c>
      <c r="R883" t="str">
        <f>'HAULING RATES- ODOT Locations'!$A$50</f>
        <v>District 4</v>
      </c>
      <c r="S883" t="str">
        <f>'HAULING RATES- ODOT Locations'!A61</f>
        <v>Mahoning</v>
      </c>
      <c r="T883" t="str">
        <f>'HAULING RATES- ODOT Locations'!B61</f>
        <v>10720 Market St., N. Lima, OH    44452</v>
      </c>
      <c r="U883" t="str">
        <f>'HAULING RATES- ODOT Locations'!G$8</f>
        <v>Dump Rock</v>
      </c>
      <c r="V883" s="146">
        <f>'HAULING RATES- ODOT Locations'!G61</f>
        <v>0</v>
      </c>
      <c r="W883" s="131" t="str">
        <f>+'Aggregate, Plant Pick-up'!$C$6</f>
        <v>LAFARGE-MARBLEHEAD "OSBORNE-CLEVELAND"</v>
      </c>
      <c r="X883" s="131" t="str">
        <f>+Plant_Information!$B$10</f>
        <v>04105-28</v>
      </c>
      <c r="Y883" s="131" t="str">
        <f>+Plant_Information!$B$11</f>
        <v>2100 CENTRAL FURNACE ROAD</v>
      </c>
      <c r="Z883" s="131" t="str">
        <f>+Plant_Information!$B$12</f>
        <v>CLEVELAND, OH, 44115</v>
      </c>
      <c r="AA883" s="131" t="str">
        <f>+Plant_Information!$B$13</f>
        <v>12</v>
      </c>
      <c r="AB883" s="131" t="str">
        <f>+Plant_Information!$B$14</f>
        <v>CUY</v>
      </c>
      <c r="AC883" s="70"/>
    </row>
    <row r="884" spans="17:29" x14ac:dyDescent="0.2">
      <c r="Q884" t="str">
        <f>Plant_Information!$B$6</f>
        <v>(INSERT VENDOR NAME HERE)</v>
      </c>
      <c r="R884" t="str">
        <f>'HAULING RATES- ODOT Locations'!$A$50</f>
        <v>District 4</v>
      </c>
      <c r="S884" t="str">
        <f>'HAULING RATES- ODOT Locations'!A62</f>
        <v>Mahoning</v>
      </c>
      <c r="T884" t="str">
        <f>'HAULING RATES- ODOT Locations'!B62</f>
        <v>Intersection SR14 &amp; Pricetown Road, Beloit, OH, 44609</v>
      </c>
      <c r="U884" t="str">
        <f>'HAULING RATES- ODOT Locations'!G$8</f>
        <v>Dump Rock</v>
      </c>
      <c r="V884" s="146">
        <f>'HAULING RATES- ODOT Locations'!G62</f>
        <v>0</v>
      </c>
      <c r="W884" s="131" t="str">
        <f>+'Aggregate, Plant Pick-up'!$C$6</f>
        <v>LAFARGE-MARBLEHEAD "OSBORNE-CLEVELAND"</v>
      </c>
      <c r="X884" s="131" t="str">
        <f>+Plant_Information!$B$10</f>
        <v>04105-28</v>
      </c>
      <c r="Y884" s="131" t="str">
        <f>+Plant_Information!$B$11</f>
        <v>2100 CENTRAL FURNACE ROAD</v>
      </c>
      <c r="Z884" s="131" t="str">
        <f>+Plant_Information!$B$12</f>
        <v>CLEVELAND, OH, 44115</v>
      </c>
      <c r="AA884" s="131" t="str">
        <f>+Plant_Information!$B$13</f>
        <v>12</v>
      </c>
      <c r="AB884" s="131" t="str">
        <f>+Plant_Information!$B$14</f>
        <v>CUY</v>
      </c>
      <c r="AC884" s="70"/>
    </row>
    <row r="885" spans="17:29" x14ac:dyDescent="0.2">
      <c r="Q885" t="str">
        <f>Plant_Information!$B$6</f>
        <v>(INSERT VENDOR NAME HERE)</v>
      </c>
      <c r="R885" t="str">
        <f>'HAULING RATES- ODOT Locations'!$A$50</f>
        <v>District 4</v>
      </c>
      <c r="S885" t="str">
        <f>'HAULING RATES- ODOT Locations'!A63</f>
        <v>Mahoning</v>
      </c>
      <c r="T885" t="str">
        <f>'HAULING RATES- ODOT Locations'!B63</f>
        <v>South Avenue OP, I-680 &amp; South Ave. (Mp7) 1510 S. Ave., Youngstown, OH   44502</v>
      </c>
      <c r="U885" t="str">
        <f>'HAULING RATES- ODOT Locations'!G$8</f>
        <v>Dump Rock</v>
      </c>
      <c r="V885" s="146">
        <f>'HAULING RATES- ODOT Locations'!G63</f>
        <v>0</v>
      </c>
      <c r="W885" s="131" t="str">
        <f>+'Aggregate, Plant Pick-up'!$C$6</f>
        <v>LAFARGE-MARBLEHEAD "OSBORNE-CLEVELAND"</v>
      </c>
      <c r="X885" s="131" t="str">
        <f>+Plant_Information!$B$10</f>
        <v>04105-28</v>
      </c>
      <c r="Y885" s="131" t="str">
        <f>+Plant_Information!$B$11</f>
        <v>2100 CENTRAL FURNACE ROAD</v>
      </c>
      <c r="Z885" s="131" t="str">
        <f>+Plant_Information!$B$12</f>
        <v>CLEVELAND, OH, 44115</v>
      </c>
      <c r="AA885" s="131" t="str">
        <f>+Plant_Information!$B$13</f>
        <v>12</v>
      </c>
      <c r="AB885" s="131" t="str">
        <f>+Plant_Information!$B$14</f>
        <v>CUY</v>
      </c>
      <c r="AC885" s="70"/>
    </row>
    <row r="886" spans="17:29" x14ac:dyDescent="0.2">
      <c r="Q886" t="str">
        <f>Plant_Information!$B$6</f>
        <v>(INSERT VENDOR NAME HERE)</v>
      </c>
      <c r="R886" t="str">
        <f>'HAULING RATES- ODOT Locations'!$A$50</f>
        <v>District 4</v>
      </c>
      <c r="S886" t="str">
        <f>'HAULING RATES- ODOT Locations'!A64</f>
        <v>Portage</v>
      </c>
      <c r="T886" t="str">
        <f>'HAULING RATES- ODOT Locations'!B64</f>
        <v>Drakesburg OP, 9068 SR 88, Windham, OH   44288</v>
      </c>
      <c r="U886" t="str">
        <f>'HAULING RATES- ODOT Locations'!G$8</f>
        <v>Dump Rock</v>
      </c>
      <c r="V886" s="146">
        <f>'HAULING RATES- ODOT Locations'!G64</f>
        <v>0</v>
      </c>
      <c r="W886" s="131" t="str">
        <f>+'Aggregate, Plant Pick-up'!$C$6</f>
        <v>LAFARGE-MARBLEHEAD "OSBORNE-CLEVELAND"</v>
      </c>
      <c r="X886" s="131" t="str">
        <f>+Plant_Information!$B$10</f>
        <v>04105-28</v>
      </c>
      <c r="Y886" s="131" t="str">
        <f>+Plant_Information!$B$11</f>
        <v>2100 CENTRAL FURNACE ROAD</v>
      </c>
      <c r="Z886" s="131" t="str">
        <f>+Plant_Information!$B$12</f>
        <v>CLEVELAND, OH, 44115</v>
      </c>
      <c r="AA886" s="131" t="str">
        <f>+Plant_Information!$B$13</f>
        <v>12</v>
      </c>
      <c r="AB886" s="131" t="str">
        <f>+Plant_Information!$B$14</f>
        <v>CUY</v>
      </c>
      <c r="AC886" s="70"/>
    </row>
    <row r="887" spans="17:29" x14ac:dyDescent="0.2">
      <c r="Q887" t="str">
        <f>Plant_Information!$B$6</f>
        <v>(INSERT VENDOR NAME HERE)</v>
      </c>
      <c r="R887" t="str">
        <f>'HAULING RATES- ODOT Locations'!$A$50</f>
        <v>District 4</v>
      </c>
      <c r="S887" t="str">
        <f>'HAULING RATES- ODOT Locations'!A65</f>
        <v>Portage</v>
      </c>
      <c r="T887" t="str">
        <f>'HAULING RATES- ODOT Locations'!B65</f>
        <v>2638 SR 14, Deerfield, OH   44411</v>
      </c>
      <c r="U887" t="str">
        <f>'HAULING RATES- ODOT Locations'!G$8</f>
        <v>Dump Rock</v>
      </c>
      <c r="V887" s="146">
        <f>'HAULING RATES- ODOT Locations'!G65</f>
        <v>0</v>
      </c>
      <c r="W887" s="131" t="str">
        <f>+'Aggregate, Plant Pick-up'!$C$6</f>
        <v>LAFARGE-MARBLEHEAD "OSBORNE-CLEVELAND"</v>
      </c>
      <c r="X887" s="131" t="str">
        <f>+Plant_Information!$B$10</f>
        <v>04105-28</v>
      </c>
      <c r="Y887" s="131" t="str">
        <f>+Plant_Information!$B$11</f>
        <v>2100 CENTRAL FURNACE ROAD</v>
      </c>
      <c r="Z887" s="131" t="str">
        <f>+Plant_Information!$B$12</f>
        <v>CLEVELAND, OH, 44115</v>
      </c>
      <c r="AA887" s="131" t="str">
        <f>+Plant_Information!$B$13</f>
        <v>12</v>
      </c>
      <c r="AB887" s="131" t="str">
        <f>+Plant_Information!$B$14</f>
        <v>CUY</v>
      </c>
      <c r="AC887" s="70"/>
    </row>
    <row r="888" spans="17:29" x14ac:dyDescent="0.2">
      <c r="Q888" t="str">
        <f>Plant_Information!$B$6</f>
        <v>(INSERT VENDOR NAME HERE)</v>
      </c>
      <c r="R888" t="str">
        <f>'HAULING RATES- ODOT Locations'!$A$50</f>
        <v>District 4</v>
      </c>
      <c r="S888" t="str">
        <f>'HAULING RATES- ODOT Locations'!A66</f>
        <v>Portage</v>
      </c>
      <c r="T888" t="str">
        <f>'HAULING RATES- ODOT Locations'!B66</f>
        <v>5071 Commerce One Drive, Rootstown, OH 44272</v>
      </c>
      <c r="U888" t="str">
        <f>'HAULING RATES- ODOT Locations'!G$8</f>
        <v>Dump Rock</v>
      </c>
      <c r="V888" s="146">
        <f>'HAULING RATES- ODOT Locations'!G66</f>
        <v>0</v>
      </c>
      <c r="W888" s="131" t="str">
        <f>+'Aggregate, Plant Pick-up'!$C$6</f>
        <v>LAFARGE-MARBLEHEAD "OSBORNE-CLEVELAND"</v>
      </c>
      <c r="X888" s="131" t="str">
        <f>+Plant_Information!$B$10</f>
        <v>04105-28</v>
      </c>
      <c r="Y888" s="131" t="str">
        <f>+Plant_Information!$B$11</f>
        <v>2100 CENTRAL FURNACE ROAD</v>
      </c>
      <c r="Z888" s="131" t="str">
        <f>+Plant_Information!$B$12</f>
        <v>CLEVELAND, OH, 44115</v>
      </c>
      <c r="AA888" s="131" t="str">
        <f>+Plant_Information!$B$13</f>
        <v>12</v>
      </c>
      <c r="AB888" s="131" t="str">
        <f>+Plant_Information!$B$14</f>
        <v>CUY</v>
      </c>
      <c r="AC888" s="70"/>
    </row>
    <row r="889" spans="17:29" x14ac:dyDescent="0.2">
      <c r="Q889" t="str">
        <f>Plant_Information!$B$6</f>
        <v>(INSERT VENDOR NAME HERE)</v>
      </c>
      <c r="R889" t="str">
        <f>'HAULING RATES- ODOT Locations'!$A$50</f>
        <v>District 4</v>
      </c>
      <c r="S889" t="str">
        <f>'HAULING RATES- ODOT Locations'!A67</f>
        <v>Stark</v>
      </c>
      <c r="T889" t="str">
        <f>'HAULING RATES- ODOT Locations'!B67</f>
        <v>4505 Atlantic Blvd. NE, Canton, Intersection of  US 62 &amp; Atlantic</v>
      </c>
      <c r="U889" t="str">
        <f>'HAULING RATES- ODOT Locations'!G$8</f>
        <v>Dump Rock</v>
      </c>
      <c r="V889" s="146">
        <f>'HAULING RATES- ODOT Locations'!G67</f>
        <v>0</v>
      </c>
      <c r="W889" s="131" t="str">
        <f>+'Aggregate, Plant Pick-up'!$C$6</f>
        <v>LAFARGE-MARBLEHEAD "OSBORNE-CLEVELAND"</v>
      </c>
      <c r="X889" s="131" t="str">
        <f>+Plant_Information!$B$10</f>
        <v>04105-28</v>
      </c>
      <c r="Y889" s="131" t="str">
        <f>+Plant_Information!$B$11</f>
        <v>2100 CENTRAL FURNACE ROAD</v>
      </c>
      <c r="Z889" s="131" t="str">
        <f>+Plant_Information!$B$12</f>
        <v>CLEVELAND, OH, 44115</v>
      </c>
      <c r="AA889" s="131" t="str">
        <f>+Plant_Information!$B$13</f>
        <v>12</v>
      </c>
      <c r="AB889" s="131" t="str">
        <f>+Plant_Information!$B$14</f>
        <v>CUY</v>
      </c>
      <c r="AC889" s="70"/>
    </row>
    <row r="890" spans="17:29" x14ac:dyDescent="0.2">
      <c r="Q890" t="str">
        <f>Plant_Information!$B$6</f>
        <v>(INSERT VENDOR NAME HERE)</v>
      </c>
      <c r="R890" t="str">
        <f>'HAULING RATES- ODOT Locations'!$A$50</f>
        <v>District 4</v>
      </c>
      <c r="S890" t="str">
        <f>'HAULING RATES- ODOT Locations'!A68</f>
        <v>Stark</v>
      </c>
      <c r="T890" t="str">
        <f>'HAULING RATES- ODOT Locations'!B68</f>
        <v>Millersburg OP, 12751 Millersburg SW,  Massillon, 44647 (corner of SR 241 &amp; SR 93)</v>
      </c>
      <c r="U890" t="str">
        <f>'HAULING RATES- ODOT Locations'!G$8</f>
        <v>Dump Rock</v>
      </c>
      <c r="V890" s="146">
        <f>'HAULING RATES- ODOT Locations'!G68</f>
        <v>0</v>
      </c>
      <c r="W890" s="131" t="str">
        <f>+'Aggregate, Plant Pick-up'!$C$6</f>
        <v>LAFARGE-MARBLEHEAD "OSBORNE-CLEVELAND"</v>
      </c>
      <c r="X890" s="131" t="str">
        <f>+Plant_Information!$B$10</f>
        <v>04105-28</v>
      </c>
      <c r="Y890" s="131" t="str">
        <f>+Plant_Information!$B$11</f>
        <v>2100 CENTRAL FURNACE ROAD</v>
      </c>
      <c r="Z890" s="131" t="str">
        <f>+Plant_Information!$B$12</f>
        <v>CLEVELAND, OH, 44115</v>
      </c>
      <c r="AA890" s="131" t="str">
        <f>+Plant_Information!$B$13</f>
        <v>12</v>
      </c>
      <c r="AB890" s="131" t="str">
        <f>+Plant_Information!$B$14</f>
        <v>CUY</v>
      </c>
      <c r="AC890" s="70"/>
    </row>
    <row r="891" spans="17:29" x14ac:dyDescent="0.2">
      <c r="Q891" s="138" t="str">
        <f>Plant_Information!$B$6</f>
        <v>(INSERT VENDOR NAME HERE)</v>
      </c>
      <c r="R891" s="138" t="str">
        <f>'HAULING RATES- ODOT Locations'!$A$50</f>
        <v>District 4</v>
      </c>
      <c r="S891" s="138" t="str">
        <f>'HAULING RATES- ODOT Locations'!A69</f>
        <v>Stark</v>
      </c>
      <c r="T891" s="138" t="str">
        <f>'HAULING RATES- ODOT Locations'!B69</f>
        <v>3018 Richville Drive SE, Massillon, OH 44646</v>
      </c>
      <c r="U891" s="138" t="str">
        <f>'HAULING RATES- ODOT Locations'!G$8</f>
        <v>Dump Rock</v>
      </c>
      <c r="V891" s="146">
        <f>'HAULING RATES- ODOT Locations'!G69</f>
        <v>0</v>
      </c>
      <c r="W891" s="141" t="str">
        <f>+'Aggregate, Plant Pick-up'!$C$6</f>
        <v>LAFARGE-MARBLEHEAD "OSBORNE-CLEVELAND"</v>
      </c>
      <c r="X891" s="141" t="str">
        <f>+Plant_Information!$B$10</f>
        <v>04105-28</v>
      </c>
      <c r="Y891" s="141" t="str">
        <f>+Plant_Information!$B$11</f>
        <v>2100 CENTRAL FURNACE ROAD</v>
      </c>
      <c r="Z891" s="141" t="str">
        <f>+Plant_Information!$B$12</f>
        <v>CLEVELAND, OH, 44115</v>
      </c>
      <c r="AA891" s="141" t="str">
        <f>+Plant_Information!$B$13</f>
        <v>12</v>
      </c>
      <c r="AB891" s="141" t="str">
        <f>+Plant_Information!$B$14</f>
        <v>CUY</v>
      </c>
      <c r="AC891" s="70"/>
    </row>
    <row r="892" spans="17:29" x14ac:dyDescent="0.2">
      <c r="Q892" t="str">
        <f>Plant_Information!$B$6</f>
        <v>(INSERT VENDOR NAME HERE)</v>
      </c>
      <c r="R892" t="str">
        <f>'HAULING RATES- ODOT Locations'!$A$50</f>
        <v>District 4</v>
      </c>
      <c r="S892" t="str">
        <f>'HAULING RATES- ODOT Locations'!A70</f>
        <v>Summit</v>
      </c>
      <c r="T892" t="str">
        <f>'HAULING RATES- ODOT Locations'!B70</f>
        <v>Boston Heights Garage, 6155 Chittenden Rd., Hudson, OH 44236</v>
      </c>
      <c r="U892" t="str">
        <f>'HAULING RATES- ODOT Locations'!G$8</f>
        <v>Dump Rock</v>
      </c>
      <c r="V892" s="146">
        <f>'HAULING RATES- ODOT Locations'!G70</f>
        <v>0</v>
      </c>
      <c r="W892" s="131" t="str">
        <f>+'Aggregate, Plant Pick-up'!$C$6</f>
        <v>LAFARGE-MARBLEHEAD "OSBORNE-CLEVELAND"</v>
      </c>
      <c r="X892" s="131" t="str">
        <f>+Plant_Information!$B$10</f>
        <v>04105-28</v>
      </c>
      <c r="Y892" s="131" t="str">
        <f>+Plant_Information!$B$11</f>
        <v>2100 CENTRAL FURNACE ROAD</v>
      </c>
      <c r="Z892" s="131" t="str">
        <f>+Plant_Information!$B$12</f>
        <v>CLEVELAND, OH, 44115</v>
      </c>
      <c r="AA892" s="131" t="str">
        <f>+Plant_Information!$B$13</f>
        <v>12</v>
      </c>
      <c r="AB892" s="131" t="str">
        <f>+Plant_Information!$B$14</f>
        <v>CUY</v>
      </c>
      <c r="AC892" s="70"/>
    </row>
    <row r="893" spans="17:29" x14ac:dyDescent="0.2">
      <c r="Q893" t="str">
        <f>Plant_Information!$B$6</f>
        <v>(INSERT VENDOR NAME HERE)</v>
      </c>
      <c r="R893" t="str">
        <f>'HAULING RATES- ODOT Locations'!$A$50</f>
        <v>District 4</v>
      </c>
      <c r="S893" t="str">
        <f>'HAULING RATES- ODOT Locations'!A71</f>
        <v>Summit</v>
      </c>
      <c r="T893" t="str">
        <f>'HAULING RATES- ODOT Locations'!B71</f>
        <v>8820 Darow Rd., Twinsburg, OH   44087</v>
      </c>
      <c r="U893" t="str">
        <f>'HAULING RATES- ODOT Locations'!G$8</f>
        <v>Dump Rock</v>
      </c>
      <c r="V893" s="146">
        <f>'HAULING RATES- ODOT Locations'!G71</f>
        <v>0</v>
      </c>
      <c r="W893" s="131" t="str">
        <f>+'Aggregate, Plant Pick-up'!$C$6</f>
        <v>LAFARGE-MARBLEHEAD "OSBORNE-CLEVELAND"</v>
      </c>
      <c r="X893" s="131" t="str">
        <f>+Plant_Information!$B$10</f>
        <v>04105-28</v>
      </c>
      <c r="Y893" s="131" t="str">
        <f>+Plant_Information!$B$11</f>
        <v>2100 CENTRAL FURNACE ROAD</v>
      </c>
      <c r="Z893" s="131" t="str">
        <f>+Plant_Information!$B$12</f>
        <v>CLEVELAND, OH, 44115</v>
      </c>
      <c r="AA893" s="131" t="str">
        <f>+Plant_Information!$B$13</f>
        <v>12</v>
      </c>
      <c r="AB893" s="131" t="str">
        <f>+Plant_Information!$B$14</f>
        <v>CUY</v>
      </c>
      <c r="AC893" s="70"/>
    </row>
    <row r="894" spans="17:29" x14ac:dyDescent="0.2">
      <c r="Q894" t="str">
        <f>Plant_Information!$B$6</f>
        <v>(INSERT VENDOR NAME HERE)</v>
      </c>
      <c r="R894" t="str">
        <f>'HAULING RATES- ODOT Locations'!$A$50</f>
        <v>District 4</v>
      </c>
      <c r="S894" t="str">
        <f>'HAULING RATES- ODOT Locations'!A72</f>
        <v>Summit</v>
      </c>
      <c r="T894" t="str">
        <f>'HAULING RATES- ODOT Locations'!B72</f>
        <v>Norton OP, 3349 SR 21, Norton, OH   44203 (Interchange  I-76 and SR 21)</v>
      </c>
      <c r="U894" t="str">
        <f>'HAULING RATES- ODOT Locations'!G$8</f>
        <v>Dump Rock</v>
      </c>
      <c r="V894" s="146">
        <f>'HAULING RATES- ODOT Locations'!G72</f>
        <v>0</v>
      </c>
      <c r="W894" s="131" t="str">
        <f>+'Aggregate, Plant Pick-up'!$C$6</f>
        <v>LAFARGE-MARBLEHEAD "OSBORNE-CLEVELAND"</v>
      </c>
      <c r="X894" s="131" t="str">
        <f>+Plant_Information!$B$10</f>
        <v>04105-28</v>
      </c>
      <c r="Y894" s="131" t="str">
        <f>+Plant_Information!$B$11</f>
        <v>2100 CENTRAL FURNACE ROAD</v>
      </c>
      <c r="Z894" s="131" t="str">
        <f>+Plant_Information!$B$12</f>
        <v>CLEVELAND, OH, 44115</v>
      </c>
      <c r="AA894" s="131" t="str">
        <f>+Plant_Information!$B$13</f>
        <v>12</v>
      </c>
      <c r="AB894" s="131" t="str">
        <f>+Plant_Information!$B$14</f>
        <v>CUY</v>
      </c>
      <c r="AC894" s="70"/>
    </row>
    <row r="895" spans="17:29" x14ac:dyDescent="0.2">
      <c r="Q895" t="str">
        <f>Plant_Information!$B$6</f>
        <v>(INSERT VENDOR NAME HERE)</v>
      </c>
      <c r="R895" t="str">
        <f>'HAULING RATES- ODOT Locations'!$A$50</f>
        <v>District 4</v>
      </c>
      <c r="S895" t="str">
        <f>'HAULING RATES- ODOT Locations'!A73</f>
        <v>Summit</v>
      </c>
      <c r="T895" t="str">
        <f>'HAULING RATES- ODOT Locations'!B73</f>
        <v>Greensburg OP, 4377 Mt. Pleasant Road, North Canton, , OH   44272  (1/4 mi. n. of I-77 Airport exit.)</v>
      </c>
      <c r="U895" t="str">
        <f>'HAULING RATES- ODOT Locations'!G$8</f>
        <v>Dump Rock</v>
      </c>
      <c r="V895" s="146">
        <f>'HAULING RATES- ODOT Locations'!G73</f>
        <v>0</v>
      </c>
      <c r="W895" s="131" t="str">
        <f>+'Aggregate, Plant Pick-up'!$C$6</f>
        <v>LAFARGE-MARBLEHEAD "OSBORNE-CLEVELAND"</v>
      </c>
      <c r="X895" s="131" t="str">
        <f>+Plant_Information!$B$10</f>
        <v>04105-28</v>
      </c>
      <c r="Y895" s="131" t="str">
        <f>+Plant_Information!$B$11</f>
        <v>2100 CENTRAL FURNACE ROAD</v>
      </c>
      <c r="Z895" s="131" t="str">
        <f>+Plant_Information!$B$12</f>
        <v>CLEVELAND, OH, 44115</v>
      </c>
      <c r="AA895" s="131" t="str">
        <f>+Plant_Information!$B$13</f>
        <v>12</v>
      </c>
      <c r="AB895" s="131" t="str">
        <f>+Plant_Information!$B$14</f>
        <v>CUY</v>
      </c>
      <c r="AC895" s="70"/>
    </row>
    <row r="896" spans="17:29" x14ac:dyDescent="0.2">
      <c r="Q896" t="str">
        <f>Plant_Information!$B$6</f>
        <v>(INSERT VENDOR NAME HERE)</v>
      </c>
      <c r="R896" t="str">
        <f>'HAULING RATES- ODOT Locations'!$A$50</f>
        <v>District 4</v>
      </c>
      <c r="S896" t="str">
        <f>'HAULING RATES- ODOT Locations'!A74</f>
        <v>Summit</v>
      </c>
      <c r="T896" t="str">
        <f>'HAULING RATES- ODOT Locations'!B74</f>
        <v>Kelly Ave. OP, 1240 Starlight Dr., Akron, OH  44306</v>
      </c>
      <c r="U896" t="str">
        <f>'HAULING RATES- ODOT Locations'!G$8</f>
        <v>Dump Rock</v>
      </c>
      <c r="V896" s="146">
        <f>'HAULING RATES- ODOT Locations'!G74</f>
        <v>0</v>
      </c>
      <c r="W896" s="131" t="str">
        <f>+'Aggregate, Plant Pick-up'!$C$6</f>
        <v>LAFARGE-MARBLEHEAD "OSBORNE-CLEVELAND"</v>
      </c>
      <c r="X896" s="131" t="str">
        <f>+Plant_Information!$B$10</f>
        <v>04105-28</v>
      </c>
      <c r="Y896" s="131" t="str">
        <f>+Plant_Information!$B$11</f>
        <v>2100 CENTRAL FURNACE ROAD</v>
      </c>
      <c r="Z896" s="131" t="str">
        <f>+Plant_Information!$B$12</f>
        <v>CLEVELAND, OH, 44115</v>
      </c>
      <c r="AA896" s="131" t="str">
        <f>+Plant_Information!$B$13</f>
        <v>12</v>
      </c>
      <c r="AB896" s="131" t="str">
        <f>+Plant_Information!$B$14</f>
        <v>CUY</v>
      </c>
      <c r="AC896" s="70"/>
    </row>
    <row r="897" spans="17:29" x14ac:dyDescent="0.2">
      <c r="Q897" t="str">
        <f>Plant_Information!$B$6</f>
        <v>(INSERT VENDOR NAME HERE)</v>
      </c>
      <c r="R897" t="str">
        <f>'HAULING RATES- ODOT Locations'!$A$50</f>
        <v>District 4</v>
      </c>
      <c r="S897" t="str">
        <f>'HAULING RATES- ODOT Locations'!A75</f>
        <v>Trumbull</v>
      </c>
      <c r="T897" t="str">
        <f>'HAULING RATES- ODOT Locations'!B75</f>
        <v>Brookfield OP, 1590 Brookfield Rd. S.E. (SR 7), Hubbard, OH   44425</v>
      </c>
      <c r="U897" t="str">
        <f>'HAULING RATES- ODOT Locations'!G$8</f>
        <v>Dump Rock</v>
      </c>
      <c r="V897" s="146">
        <f>'HAULING RATES- ODOT Locations'!G75</f>
        <v>0</v>
      </c>
      <c r="W897" s="131" t="str">
        <f>+'Aggregate, Plant Pick-up'!$C$6</f>
        <v>LAFARGE-MARBLEHEAD "OSBORNE-CLEVELAND"</v>
      </c>
      <c r="X897" s="131" t="str">
        <f>+Plant_Information!$B$10</f>
        <v>04105-28</v>
      </c>
      <c r="Y897" s="131" t="str">
        <f>+Plant_Information!$B$11</f>
        <v>2100 CENTRAL FURNACE ROAD</v>
      </c>
      <c r="Z897" s="131" t="str">
        <f>+Plant_Information!$B$12</f>
        <v>CLEVELAND, OH, 44115</v>
      </c>
      <c r="AA897" s="131" t="str">
        <f>+Plant_Information!$B$13</f>
        <v>12</v>
      </c>
      <c r="AB897" s="131" t="str">
        <f>+Plant_Information!$B$14</f>
        <v>CUY</v>
      </c>
      <c r="AC897" s="70"/>
    </row>
    <row r="898" spans="17:29" x14ac:dyDescent="0.2">
      <c r="Q898" t="str">
        <f>Plant_Information!$B$6</f>
        <v>(INSERT VENDOR NAME HERE)</v>
      </c>
      <c r="R898" t="str">
        <f>'HAULING RATES- ODOT Locations'!$A$50</f>
        <v>District 4</v>
      </c>
      <c r="S898" t="str">
        <f>'HAULING RATES- ODOT Locations'!A76</f>
        <v>Trumbull</v>
      </c>
      <c r="T898" t="str">
        <f>'HAULING RATES- ODOT Locations'!B76</f>
        <v>310 Second St., Cortland, OH   44410</v>
      </c>
      <c r="U898" t="str">
        <f>'HAULING RATES- ODOT Locations'!G$8</f>
        <v>Dump Rock</v>
      </c>
      <c r="V898" s="146">
        <f>'HAULING RATES- ODOT Locations'!G76</f>
        <v>0</v>
      </c>
      <c r="W898" s="131" t="str">
        <f>+'Aggregate, Plant Pick-up'!$C$6</f>
        <v>LAFARGE-MARBLEHEAD "OSBORNE-CLEVELAND"</v>
      </c>
      <c r="X898" s="131" t="str">
        <f>+Plant_Information!$B$10</f>
        <v>04105-28</v>
      </c>
      <c r="Y898" s="131" t="str">
        <f>+Plant_Information!$B$11</f>
        <v>2100 CENTRAL FURNACE ROAD</v>
      </c>
      <c r="Z898" s="131" t="str">
        <f>+Plant_Information!$B$12</f>
        <v>CLEVELAND, OH, 44115</v>
      </c>
      <c r="AA898" s="131" t="str">
        <f>+Plant_Information!$B$13</f>
        <v>12</v>
      </c>
      <c r="AB898" s="131" t="str">
        <f>+Plant_Information!$B$14</f>
        <v>CUY</v>
      </c>
      <c r="AC898" s="70"/>
    </row>
    <row r="899" spans="17:29" x14ac:dyDescent="0.2">
      <c r="Q899" t="str">
        <f>Plant_Information!$B$6</f>
        <v>(INSERT VENDOR NAME HERE)</v>
      </c>
      <c r="R899" t="str">
        <f>'HAULING RATES- ODOT Locations'!$A$50</f>
        <v>District 4</v>
      </c>
      <c r="S899" t="str">
        <f>'HAULING RATES- ODOT Locations'!A77</f>
        <v>Trumbull</v>
      </c>
      <c r="T899" t="str">
        <f>'HAULING RATES- ODOT Locations'!B77</f>
        <v>Gustavus OP, 2979 Kinsman Rd., North Bloomfield, OH 44450</v>
      </c>
      <c r="U899" t="str">
        <f>'HAULING RATES- ODOT Locations'!G$8</f>
        <v>Dump Rock</v>
      </c>
      <c r="V899" s="146">
        <f>'HAULING RATES- ODOT Locations'!G77</f>
        <v>0</v>
      </c>
      <c r="W899" s="131" t="str">
        <f>+'Aggregate, Plant Pick-up'!$C$6</f>
        <v>LAFARGE-MARBLEHEAD "OSBORNE-CLEVELAND"</v>
      </c>
      <c r="X899" s="131" t="str">
        <f>+Plant_Information!$B$10</f>
        <v>04105-28</v>
      </c>
      <c r="Y899" s="131" t="str">
        <f>+Plant_Information!$B$11</f>
        <v>2100 CENTRAL FURNACE ROAD</v>
      </c>
      <c r="Z899" s="131" t="str">
        <f>+Plant_Information!$B$12</f>
        <v>CLEVELAND, OH, 44115</v>
      </c>
      <c r="AA899" s="131" t="str">
        <f>+Plant_Information!$B$13</f>
        <v>12</v>
      </c>
      <c r="AB899" s="131" t="str">
        <f>+Plant_Information!$B$14</f>
        <v>CUY</v>
      </c>
      <c r="AC899" s="70"/>
    </row>
    <row r="900" spans="17:29" x14ac:dyDescent="0.2">
      <c r="Q900" t="str">
        <f>Plant_Information!$B$6</f>
        <v>(INSERT VENDOR NAME HERE)</v>
      </c>
      <c r="R900" t="str">
        <f>'HAULING RATES- ODOT Locations'!$A$50</f>
        <v>District 4</v>
      </c>
      <c r="S900" t="str">
        <f>'HAULING RATES- ODOT Locations'!A78</f>
        <v>Trumbull</v>
      </c>
      <c r="T900" t="str">
        <f>'HAULING RATES- ODOT Locations'!B78</f>
        <v>Farmington OP, 6265 SR 534, W. Farmington, OH  44491</v>
      </c>
      <c r="U900" t="str">
        <f>'HAULING RATES- ODOT Locations'!G$8</f>
        <v>Dump Rock</v>
      </c>
      <c r="V900" s="146">
        <f>'HAULING RATES- ODOT Locations'!G78</f>
        <v>0</v>
      </c>
      <c r="W900" s="131" t="str">
        <f>+'Aggregate, Plant Pick-up'!$C$6</f>
        <v>LAFARGE-MARBLEHEAD "OSBORNE-CLEVELAND"</v>
      </c>
      <c r="X900" s="131" t="str">
        <f>+Plant_Information!$B$10</f>
        <v>04105-28</v>
      </c>
      <c r="Y900" s="131" t="str">
        <f>+Plant_Information!$B$11</f>
        <v>2100 CENTRAL FURNACE ROAD</v>
      </c>
      <c r="Z900" s="131" t="str">
        <f>+Plant_Information!$B$12</f>
        <v>CLEVELAND, OH, 44115</v>
      </c>
      <c r="AA900" s="131" t="str">
        <f>+Plant_Information!$B$13</f>
        <v>12</v>
      </c>
      <c r="AB900" s="131" t="str">
        <f>+Plant_Information!$B$14</f>
        <v>CUY</v>
      </c>
      <c r="AC900" s="70"/>
    </row>
    <row r="901" spans="17:29" x14ac:dyDescent="0.2">
      <c r="Q901" t="str">
        <f>Plant_Information!$B$6</f>
        <v>(INSERT VENDOR NAME HERE)</v>
      </c>
      <c r="R901" t="str">
        <f>'HAULING RATES- ODOT Locations'!$A$50</f>
        <v>District 4</v>
      </c>
      <c r="S901" t="str">
        <f>'HAULING RATES- ODOT Locations'!A79</f>
        <v>Trumbull</v>
      </c>
      <c r="T901" t="str">
        <f>'HAULING RATES- ODOT Locations'!B79</f>
        <v>Warren OP, SR 5 &amp; Diehl S., Leavittsburg, OH   44430</v>
      </c>
      <c r="U901" t="str">
        <f>'HAULING RATES- ODOT Locations'!G$8</f>
        <v>Dump Rock</v>
      </c>
      <c r="V901" s="146">
        <f>'HAULING RATES- ODOT Locations'!G79</f>
        <v>0</v>
      </c>
      <c r="W901" s="131" t="str">
        <f>+'Aggregate, Plant Pick-up'!$C$6</f>
        <v>LAFARGE-MARBLEHEAD "OSBORNE-CLEVELAND"</v>
      </c>
      <c r="X901" s="131" t="str">
        <f>+Plant_Information!$B$10</f>
        <v>04105-28</v>
      </c>
      <c r="Y901" s="131" t="str">
        <f>+Plant_Information!$B$11</f>
        <v>2100 CENTRAL FURNACE ROAD</v>
      </c>
      <c r="Z901" s="131" t="str">
        <f>+Plant_Information!$B$12</f>
        <v>CLEVELAND, OH, 44115</v>
      </c>
      <c r="AA901" s="131" t="str">
        <f>+Plant_Information!$B$13</f>
        <v>12</v>
      </c>
      <c r="AB901" s="131" t="str">
        <f>+Plant_Information!$B$14</f>
        <v>CUY</v>
      </c>
      <c r="AC901" s="70"/>
    </row>
    <row r="902" spans="17:29" x14ac:dyDescent="0.2">
      <c r="Q902" t="str">
        <f>Plant_Information!$B$6</f>
        <v>(INSERT VENDOR NAME HERE)</v>
      </c>
      <c r="R902" t="str">
        <f>'HAULING RATES- ODOT Locations'!$A$80</f>
        <v>District 5</v>
      </c>
      <c r="S902" t="str">
        <f>'HAULING RATES- ODOT Locations'!A83</f>
        <v>Coshocton</v>
      </c>
      <c r="T902" t="str">
        <f>'HAULING RATES- ODOT Locations'!B83</f>
        <v>233 Rivercrest Dr., Coshocton, OH 43812</v>
      </c>
      <c r="U902" t="str">
        <f>'HAULING RATES- ODOT Locations'!G$8</f>
        <v>Dump Rock</v>
      </c>
      <c r="V902" s="146">
        <f>'HAULING RATES- ODOT Locations'!G83</f>
        <v>0</v>
      </c>
      <c r="W902" s="131" t="str">
        <f>+'Aggregate, Plant Pick-up'!$C$6</f>
        <v>LAFARGE-MARBLEHEAD "OSBORNE-CLEVELAND"</v>
      </c>
      <c r="X902" s="131" t="str">
        <f>+Plant_Information!$B$10</f>
        <v>04105-28</v>
      </c>
      <c r="Y902" s="131" t="str">
        <f>+Plant_Information!$B$11</f>
        <v>2100 CENTRAL FURNACE ROAD</v>
      </c>
      <c r="Z902" s="131" t="str">
        <f>+Plant_Information!$B$12</f>
        <v>CLEVELAND, OH, 44115</v>
      </c>
      <c r="AA902" s="131" t="str">
        <f>+Plant_Information!$B$13</f>
        <v>12</v>
      </c>
      <c r="AB902" s="131" t="str">
        <f>+Plant_Information!$B$14</f>
        <v>CUY</v>
      </c>
      <c r="AC902" s="70"/>
    </row>
    <row r="903" spans="17:29" x14ac:dyDescent="0.2">
      <c r="Q903" t="str">
        <f>Plant_Information!$B$6</f>
        <v>(INSERT VENDOR NAME HERE)</v>
      </c>
      <c r="R903" t="str">
        <f>'HAULING RATES- ODOT Locations'!$A$80</f>
        <v>District 5</v>
      </c>
      <c r="S903" t="str">
        <f>'HAULING RATES- ODOT Locations'!A84</f>
        <v>Coshocton</v>
      </c>
      <c r="T903" t="str">
        <f>'HAULING RATES- ODOT Locations'!B84</f>
        <v>25939 SR 206, New Castle, OH 43843</v>
      </c>
      <c r="U903" t="str">
        <f>'HAULING RATES- ODOT Locations'!G$8</f>
        <v>Dump Rock</v>
      </c>
      <c r="V903" s="146">
        <f>'HAULING RATES- ODOT Locations'!G84</f>
        <v>0</v>
      </c>
      <c r="W903" s="131" t="str">
        <f>+'Aggregate, Plant Pick-up'!$C$6</f>
        <v>LAFARGE-MARBLEHEAD "OSBORNE-CLEVELAND"</v>
      </c>
      <c r="X903" s="131" t="str">
        <f>+Plant_Information!$B$10</f>
        <v>04105-28</v>
      </c>
      <c r="Y903" s="131" t="str">
        <f>+Plant_Information!$B$11</f>
        <v>2100 CENTRAL FURNACE ROAD</v>
      </c>
      <c r="Z903" s="131" t="str">
        <f>+Plant_Information!$B$12</f>
        <v>CLEVELAND, OH, 44115</v>
      </c>
      <c r="AA903" s="131" t="str">
        <f>+Plant_Information!$B$13</f>
        <v>12</v>
      </c>
      <c r="AB903" s="131" t="str">
        <f>+Plant_Information!$B$14</f>
        <v>CUY</v>
      </c>
      <c r="AC903" s="70"/>
    </row>
    <row r="904" spans="17:29" x14ac:dyDescent="0.2">
      <c r="Q904" t="str">
        <f>Plant_Information!$B$6</f>
        <v>(INSERT VENDOR NAME HERE)</v>
      </c>
      <c r="R904" t="str">
        <f>'HAULING RATES- ODOT Locations'!$A$80</f>
        <v>District 5</v>
      </c>
      <c r="S904" t="str">
        <f>'HAULING RATES- ODOT Locations'!A85</f>
        <v>Fairfield</v>
      </c>
      <c r="T904" t="str">
        <f>'HAULING RATES- ODOT Locations'!B85</f>
        <v>1894 West Market St., Baltimore, OH 43105</v>
      </c>
      <c r="U904" t="str">
        <f>'HAULING RATES- ODOT Locations'!G$8</f>
        <v>Dump Rock</v>
      </c>
      <c r="V904" s="146">
        <f>'HAULING RATES- ODOT Locations'!G85</f>
        <v>0</v>
      </c>
      <c r="W904" s="131" t="str">
        <f>+'Aggregate, Plant Pick-up'!$C$6</f>
        <v>LAFARGE-MARBLEHEAD "OSBORNE-CLEVELAND"</v>
      </c>
      <c r="X904" s="131" t="str">
        <f>+Plant_Information!$B$10</f>
        <v>04105-28</v>
      </c>
      <c r="Y904" s="131" t="str">
        <f>+Plant_Information!$B$11</f>
        <v>2100 CENTRAL FURNACE ROAD</v>
      </c>
      <c r="Z904" s="131" t="str">
        <f>+Plant_Information!$B$12</f>
        <v>CLEVELAND, OH, 44115</v>
      </c>
      <c r="AA904" s="131" t="str">
        <f>+Plant_Information!$B$13</f>
        <v>12</v>
      </c>
      <c r="AB904" s="131" t="str">
        <f>+Plant_Information!$B$14</f>
        <v>CUY</v>
      </c>
      <c r="AC904" s="70"/>
    </row>
    <row r="905" spans="17:29" x14ac:dyDescent="0.2">
      <c r="Q905" t="str">
        <f>Plant_Information!$B$6</f>
        <v>(INSERT VENDOR NAME HERE)</v>
      </c>
      <c r="R905" t="str">
        <f>'HAULING RATES- ODOT Locations'!$A$80</f>
        <v>District 5</v>
      </c>
      <c r="S905" t="str">
        <f>'HAULING RATES- ODOT Locations'!A86</f>
        <v>Fairfield</v>
      </c>
      <c r="T905" t="str">
        <f>'HAULING RATES- ODOT Locations'!B86</f>
        <v>3265 West Fair Avenue, Lancaster, OH 43130</v>
      </c>
      <c r="U905" t="str">
        <f>'HAULING RATES- ODOT Locations'!G$8</f>
        <v>Dump Rock</v>
      </c>
      <c r="V905" s="146">
        <f>'HAULING RATES- ODOT Locations'!G86</f>
        <v>0</v>
      </c>
      <c r="W905" s="131" t="str">
        <f>+'Aggregate, Plant Pick-up'!$C$6</f>
        <v>LAFARGE-MARBLEHEAD "OSBORNE-CLEVELAND"</v>
      </c>
      <c r="X905" s="131" t="str">
        <f>+Plant_Information!$B$10</f>
        <v>04105-28</v>
      </c>
      <c r="Y905" s="131" t="str">
        <f>+Plant_Information!$B$11</f>
        <v>2100 CENTRAL FURNACE ROAD</v>
      </c>
      <c r="Z905" s="131" t="str">
        <f>+Plant_Information!$B$12</f>
        <v>CLEVELAND, OH, 44115</v>
      </c>
      <c r="AA905" s="131" t="str">
        <f>+Plant_Information!$B$13</f>
        <v>12</v>
      </c>
      <c r="AB905" s="131" t="str">
        <f>+Plant_Information!$B$14</f>
        <v>CUY</v>
      </c>
      <c r="AC905" s="70"/>
    </row>
    <row r="906" spans="17:29" x14ac:dyDescent="0.2">
      <c r="Q906" t="str">
        <f>Plant_Information!$B$6</f>
        <v>(INSERT VENDOR NAME HERE)</v>
      </c>
      <c r="R906" t="str">
        <f>'HAULING RATES- ODOT Locations'!$A$80</f>
        <v>District 5</v>
      </c>
      <c r="S906" t="str">
        <f>'HAULING RATES- ODOT Locations'!A87</f>
        <v>Fairfield</v>
      </c>
      <c r="T906" t="str">
        <f>'HAULING RATES- ODOT Locations'!B87</f>
        <v>5840 Logan-Thornville Rd. NE, Rushville, OH 43150</v>
      </c>
      <c r="U906" t="str">
        <f>'HAULING RATES- ODOT Locations'!G$8</f>
        <v>Dump Rock</v>
      </c>
      <c r="V906" s="146">
        <f>'HAULING RATES- ODOT Locations'!G87</f>
        <v>0</v>
      </c>
      <c r="W906" s="131" t="str">
        <f>+'Aggregate, Plant Pick-up'!$C$6</f>
        <v>LAFARGE-MARBLEHEAD "OSBORNE-CLEVELAND"</v>
      </c>
      <c r="X906" s="131" t="str">
        <f>+Plant_Information!$B$10</f>
        <v>04105-28</v>
      </c>
      <c r="Y906" s="131" t="str">
        <f>+Plant_Information!$B$11</f>
        <v>2100 CENTRAL FURNACE ROAD</v>
      </c>
      <c r="Z906" s="131" t="str">
        <f>+Plant_Information!$B$12</f>
        <v>CLEVELAND, OH, 44115</v>
      </c>
      <c r="AA906" s="131" t="str">
        <f>+Plant_Information!$B$13</f>
        <v>12</v>
      </c>
      <c r="AB906" s="131" t="str">
        <f>+Plant_Information!$B$14</f>
        <v>CUY</v>
      </c>
      <c r="AC906" s="70"/>
    </row>
    <row r="907" spans="17:29" x14ac:dyDescent="0.2">
      <c r="Q907" t="str">
        <f>Plant_Information!$B$6</f>
        <v>(INSERT VENDOR NAME HERE)</v>
      </c>
      <c r="R907" t="str">
        <f>'HAULING RATES- ODOT Locations'!$A$80</f>
        <v>District 5</v>
      </c>
      <c r="S907" t="str">
        <f>'HAULING RATES- ODOT Locations'!A88</f>
        <v>Guernsey</v>
      </c>
      <c r="T907" t="str">
        <f>'HAULING RATES- ODOT Locations'!B88</f>
        <v>6490 Glenn Highway, Cambridge, OH 43725</v>
      </c>
      <c r="U907" t="str">
        <f>'HAULING RATES- ODOT Locations'!G$8</f>
        <v>Dump Rock</v>
      </c>
      <c r="V907" s="146">
        <f>'HAULING RATES- ODOT Locations'!G88</f>
        <v>0</v>
      </c>
      <c r="W907" s="131" t="str">
        <f>+'Aggregate, Plant Pick-up'!$C$6</f>
        <v>LAFARGE-MARBLEHEAD "OSBORNE-CLEVELAND"</v>
      </c>
      <c r="X907" s="131" t="str">
        <f>+Plant_Information!$B$10</f>
        <v>04105-28</v>
      </c>
      <c r="Y907" s="131" t="str">
        <f>+Plant_Information!$B$11</f>
        <v>2100 CENTRAL FURNACE ROAD</v>
      </c>
      <c r="Z907" s="131" t="str">
        <f>+Plant_Information!$B$12</f>
        <v>CLEVELAND, OH, 44115</v>
      </c>
      <c r="AA907" s="131" t="str">
        <f>+Plant_Information!$B$13</f>
        <v>12</v>
      </c>
      <c r="AB907" s="131" t="str">
        <f>+Plant_Information!$B$14</f>
        <v>CUY</v>
      </c>
      <c r="AC907" s="70"/>
    </row>
    <row r="908" spans="17:29" x14ac:dyDescent="0.2">
      <c r="Q908" t="str">
        <f>Plant_Information!$B$6</f>
        <v>(INSERT VENDOR NAME HERE)</v>
      </c>
      <c r="R908" t="str">
        <f>'HAULING RATES- ODOT Locations'!$A$80</f>
        <v>District 5</v>
      </c>
      <c r="S908" t="str">
        <f>'HAULING RATES- ODOT Locations'!A89</f>
        <v>Guernsey</v>
      </c>
      <c r="T908" t="str">
        <f>'HAULING RATES- ODOT Locations'!B89</f>
        <v>North Salem OP, 72450 Old 21 Rd., Kimbolton, OH 43749</v>
      </c>
      <c r="U908" t="str">
        <f>'HAULING RATES- ODOT Locations'!G$8</f>
        <v>Dump Rock</v>
      </c>
      <c r="V908" s="146">
        <f>'HAULING RATES- ODOT Locations'!G89</f>
        <v>0</v>
      </c>
      <c r="W908" s="131" t="str">
        <f>+'Aggregate, Plant Pick-up'!$C$6</f>
        <v>LAFARGE-MARBLEHEAD "OSBORNE-CLEVELAND"</v>
      </c>
      <c r="X908" s="131" t="str">
        <f>+Plant_Information!$B$10</f>
        <v>04105-28</v>
      </c>
      <c r="Y908" s="131" t="str">
        <f>+Plant_Information!$B$11</f>
        <v>2100 CENTRAL FURNACE ROAD</v>
      </c>
      <c r="Z908" s="131" t="str">
        <f>+Plant_Information!$B$12</f>
        <v>CLEVELAND, OH, 44115</v>
      </c>
      <c r="AA908" s="131" t="str">
        <f>+Plant_Information!$B$13</f>
        <v>12</v>
      </c>
      <c r="AB908" s="131" t="str">
        <f>+Plant_Information!$B$14</f>
        <v>CUY</v>
      </c>
      <c r="AC908" s="70"/>
    </row>
    <row r="909" spans="17:29" x14ac:dyDescent="0.2">
      <c r="Q909" t="str">
        <f>Plant_Information!$B$6</f>
        <v>(INSERT VENDOR NAME HERE)</v>
      </c>
      <c r="R909" t="str">
        <f>'HAULING RATES- ODOT Locations'!$A$80</f>
        <v>District 5</v>
      </c>
      <c r="S909" t="str">
        <f>'HAULING RATES- ODOT Locations'!A90</f>
        <v>Guernsey</v>
      </c>
      <c r="T909" t="str">
        <f>'HAULING RATES- ODOT Locations'!B90</f>
        <v>Old Washington OP, 63064 Winter Green Rd., Lore City, OH 43755</v>
      </c>
      <c r="U909" t="str">
        <f>'HAULING RATES- ODOT Locations'!G$8</f>
        <v>Dump Rock</v>
      </c>
      <c r="V909" s="146">
        <f>'HAULING RATES- ODOT Locations'!G90</f>
        <v>0</v>
      </c>
      <c r="W909" s="131" t="str">
        <f>+'Aggregate, Plant Pick-up'!$C$6</f>
        <v>LAFARGE-MARBLEHEAD "OSBORNE-CLEVELAND"</v>
      </c>
      <c r="X909" s="131" t="str">
        <f>+Plant_Information!$B$10</f>
        <v>04105-28</v>
      </c>
      <c r="Y909" s="131" t="str">
        <f>+Plant_Information!$B$11</f>
        <v>2100 CENTRAL FURNACE ROAD</v>
      </c>
      <c r="Z909" s="131" t="str">
        <f>+Plant_Information!$B$12</f>
        <v>CLEVELAND, OH, 44115</v>
      </c>
      <c r="AA909" s="131" t="str">
        <f>+Plant_Information!$B$13</f>
        <v>12</v>
      </c>
      <c r="AB909" s="131" t="str">
        <f>+Plant_Information!$B$14</f>
        <v>CUY</v>
      </c>
      <c r="AC909" s="70"/>
    </row>
    <row r="910" spans="17:29" x14ac:dyDescent="0.2">
      <c r="Q910" t="str">
        <f>Plant_Information!$B$6</f>
        <v>(INSERT VENDOR NAME HERE)</v>
      </c>
      <c r="R910" t="str">
        <f>'HAULING RATES- ODOT Locations'!$A$80</f>
        <v>District 5</v>
      </c>
      <c r="S910" t="str">
        <f>'HAULING RATES- ODOT Locations'!A91</f>
        <v>Knox</v>
      </c>
      <c r="T910" t="str">
        <f>'HAULING RATES- ODOT Locations'!B91</f>
        <v>505 Harcourt Rd., Mt. Vernon, OH 43050</v>
      </c>
      <c r="U910" t="str">
        <f>'HAULING RATES- ODOT Locations'!G$8</f>
        <v>Dump Rock</v>
      </c>
      <c r="V910" s="146">
        <f>'HAULING RATES- ODOT Locations'!G91</f>
        <v>0</v>
      </c>
      <c r="W910" s="131" t="str">
        <f>+'Aggregate, Plant Pick-up'!$C$6</f>
        <v>LAFARGE-MARBLEHEAD "OSBORNE-CLEVELAND"</v>
      </c>
      <c r="X910" s="131" t="str">
        <f>+Plant_Information!$B$10</f>
        <v>04105-28</v>
      </c>
      <c r="Y910" s="131" t="str">
        <f>+Plant_Information!$B$11</f>
        <v>2100 CENTRAL FURNACE ROAD</v>
      </c>
      <c r="Z910" s="131" t="str">
        <f>+Plant_Information!$B$12</f>
        <v>CLEVELAND, OH, 44115</v>
      </c>
      <c r="AA910" s="131" t="str">
        <f>+Plant_Information!$B$13</f>
        <v>12</v>
      </c>
      <c r="AB910" s="131" t="str">
        <f>+Plant_Information!$B$14</f>
        <v>CUY</v>
      </c>
      <c r="AC910" s="70"/>
    </row>
    <row r="911" spans="17:29" x14ac:dyDescent="0.2">
      <c r="Q911" t="str">
        <f>Plant_Information!$B$6</f>
        <v>(INSERT VENDOR NAME HERE)</v>
      </c>
      <c r="R911" t="str">
        <f>'HAULING RATES- ODOT Locations'!$A$80</f>
        <v>District 5</v>
      </c>
      <c r="S911" t="str">
        <f>'HAULING RATES- ODOT Locations'!A92</f>
        <v>Knox</v>
      </c>
      <c r="T911" t="str">
        <f>'HAULING RATES- ODOT Locations'!B92</f>
        <v>44 Mt. Vernon Ave., Fredericktown, 43010</v>
      </c>
      <c r="U911" t="str">
        <f>'HAULING RATES- ODOT Locations'!G$8</f>
        <v>Dump Rock</v>
      </c>
      <c r="V911" s="146">
        <f>'HAULING RATES- ODOT Locations'!G92</f>
        <v>0</v>
      </c>
      <c r="W911" s="131" t="str">
        <f>+'Aggregate, Plant Pick-up'!$C$6</f>
        <v>LAFARGE-MARBLEHEAD "OSBORNE-CLEVELAND"</v>
      </c>
      <c r="X911" s="131" t="str">
        <f>+Plant_Information!$B$10</f>
        <v>04105-28</v>
      </c>
      <c r="Y911" s="131" t="str">
        <f>+Plant_Information!$B$11</f>
        <v>2100 CENTRAL FURNACE ROAD</v>
      </c>
      <c r="Z911" s="131" t="str">
        <f>+Plant_Information!$B$12</f>
        <v>CLEVELAND, OH, 44115</v>
      </c>
      <c r="AA911" s="131" t="str">
        <f>+Plant_Information!$B$13</f>
        <v>12</v>
      </c>
      <c r="AB911" s="131" t="str">
        <f>+Plant_Information!$B$14</f>
        <v>CUY</v>
      </c>
      <c r="AC911" s="70"/>
    </row>
    <row r="912" spans="17:29" x14ac:dyDescent="0.2">
      <c r="Q912" t="str">
        <f>Plant_Information!$B$6</f>
        <v>(INSERT VENDOR NAME HERE)</v>
      </c>
      <c r="R912" t="str">
        <f>'HAULING RATES- ODOT Locations'!$A$80</f>
        <v>District 5</v>
      </c>
      <c r="S912" t="str">
        <f>'HAULING RATES- ODOT Locations'!A93</f>
        <v>Licking</v>
      </c>
      <c r="T912" t="str">
        <f>'HAULING RATES- ODOT Locations'!B93</f>
        <v>9600 Jacksontown Rd., Jacksontown, OH 43030</v>
      </c>
      <c r="U912" t="str">
        <f>'HAULING RATES- ODOT Locations'!G$8</f>
        <v>Dump Rock</v>
      </c>
      <c r="V912" s="146">
        <f>'HAULING RATES- ODOT Locations'!G93</f>
        <v>0</v>
      </c>
      <c r="W912" s="131" t="str">
        <f>+'Aggregate, Plant Pick-up'!$C$6</f>
        <v>LAFARGE-MARBLEHEAD "OSBORNE-CLEVELAND"</v>
      </c>
      <c r="X912" s="131" t="str">
        <f>+Plant_Information!$B$10</f>
        <v>04105-28</v>
      </c>
      <c r="Y912" s="131" t="str">
        <f>+Plant_Information!$B$11</f>
        <v>2100 CENTRAL FURNACE ROAD</v>
      </c>
      <c r="Z912" s="131" t="str">
        <f>+Plant_Information!$B$12</f>
        <v>CLEVELAND, OH, 44115</v>
      </c>
      <c r="AA912" s="131" t="str">
        <f>+Plant_Information!$B$13</f>
        <v>12</v>
      </c>
      <c r="AB912" s="131" t="str">
        <f>+Plant_Information!$B$14</f>
        <v>CUY</v>
      </c>
      <c r="AC912" s="70"/>
    </row>
    <row r="913" spans="17:29" x14ac:dyDescent="0.2">
      <c r="Q913" t="str">
        <f>Plant_Information!$B$6</f>
        <v>(INSERT VENDOR NAME HERE)</v>
      </c>
      <c r="R913" t="str">
        <f>'HAULING RATES- ODOT Locations'!$A$80</f>
        <v>District 5</v>
      </c>
      <c r="S913" t="str">
        <f>'HAULING RATES- ODOT Locations'!A94</f>
        <v>Licking</v>
      </c>
      <c r="T913" t="str">
        <f>'HAULING RATES- ODOT Locations'!B94</f>
        <v>Etna OP, 10250 Refugee Rd., Pataskala, OH 43062</v>
      </c>
      <c r="U913" t="str">
        <f>'HAULING RATES- ODOT Locations'!G$8</f>
        <v>Dump Rock</v>
      </c>
      <c r="V913" s="146">
        <f>'HAULING RATES- ODOT Locations'!G94</f>
        <v>0</v>
      </c>
      <c r="W913" s="131" t="str">
        <f>+'Aggregate, Plant Pick-up'!$C$6</f>
        <v>LAFARGE-MARBLEHEAD "OSBORNE-CLEVELAND"</v>
      </c>
      <c r="X913" s="131" t="str">
        <f>+Plant_Information!$B$10</f>
        <v>04105-28</v>
      </c>
      <c r="Y913" s="131" t="str">
        <f>+Plant_Information!$B$11</f>
        <v>2100 CENTRAL FURNACE ROAD</v>
      </c>
      <c r="Z913" s="131" t="str">
        <f>+Plant_Information!$B$12</f>
        <v>CLEVELAND, OH, 44115</v>
      </c>
      <c r="AA913" s="131" t="str">
        <f>+Plant_Information!$B$13</f>
        <v>12</v>
      </c>
      <c r="AB913" s="131" t="str">
        <f>+Plant_Information!$B$14</f>
        <v>CUY</v>
      </c>
      <c r="AC913" s="70"/>
    </row>
    <row r="914" spans="17:29" x14ac:dyDescent="0.2">
      <c r="Q914" t="str">
        <f>Plant_Information!$B$6</f>
        <v>(INSERT VENDOR NAME HERE)</v>
      </c>
      <c r="R914" t="str">
        <f>'HAULING RATES- ODOT Locations'!$A$80</f>
        <v>District 5</v>
      </c>
      <c r="S914" t="str">
        <f>'HAULING RATES- ODOT Locations'!A95</f>
        <v>Licking</v>
      </c>
      <c r="T914" t="str">
        <f>'HAULING RATES- ODOT Locations'!B95</f>
        <v>2142 Johnstown-Utica Rd., Utica, OH 43080</v>
      </c>
      <c r="U914" t="str">
        <f>'HAULING RATES- ODOT Locations'!G$8</f>
        <v>Dump Rock</v>
      </c>
      <c r="V914" s="146">
        <f>'HAULING RATES- ODOT Locations'!G95</f>
        <v>0</v>
      </c>
      <c r="W914" s="131" t="str">
        <f>+'Aggregate, Plant Pick-up'!$C$6</f>
        <v>LAFARGE-MARBLEHEAD "OSBORNE-CLEVELAND"</v>
      </c>
      <c r="X914" s="131" t="str">
        <f>+Plant_Information!$B$10</f>
        <v>04105-28</v>
      </c>
      <c r="Y914" s="131" t="str">
        <f>+Plant_Information!$B$11</f>
        <v>2100 CENTRAL FURNACE ROAD</v>
      </c>
      <c r="Z914" s="131" t="str">
        <f>+Plant_Information!$B$12</f>
        <v>CLEVELAND, OH, 44115</v>
      </c>
      <c r="AA914" s="131" t="str">
        <f>+Plant_Information!$B$13</f>
        <v>12</v>
      </c>
      <c r="AB914" s="131" t="str">
        <f>+Plant_Information!$B$14</f>
        <v>CUY</v>
      </c>
      <c r="AC914" s="70"/>
    </row>
    <row r="915" spans="17:29" x14ac:dyDescent="0.2">
      <c r="Q915" t="str">
        <f>Plant_Information!$B$6</f>
        <v>(INSERT VENDOR NAME HERE)</v>
      </c>
      <c r="R915" t="str">
        <f>'HAULING RATES- ODOT Locations'!$A$80</f>
        <v>District 5</v>
      </c>
      <c r="S915" t="str">
        <f>'HAULING RATES- ODOT Locations'!A96</f>
        <v>Licking</v>
      </c>
      <c r="T915" t="str">
        <f>'HAULING RATES- ODOT Locations'!B96</f>
        <v>10694 Brownsville Rd., SW, Brownsville, OH 43721</v>
      </c>
      <c r="U915" t="str">
        <f>'HAULING RATES- ODOT Locations'!G$8</f>
        <v>Dump Rock</v>
      </c>
      <c r="V915" s="146">
        <f>'HAULING RATES- ODOT Locations'!G96</f>
        <v>0</v>
      </c>
      <c r="W915" s="131" t="str">
        <f>+'Aggregate, Plant Pick-up'!$C$6</f>
        <v>LAFARGE-MARBLEHEAD "OSBORNE-CLEVELAND"</v>
      </c>
      <c r="X915" s="131" t="str">
        <f>+Plant_Information!$B$10</f>
        <v>04105-28</v>
      </c>
      <c r="Y915" s="131" t="str">
        <f>+Plant_Information!$B$11</f>
        <v>2100 CENTRAL FURNACE ROAD</v>
      </c>
      <c r="Z915" s="131" t="str">
        <f>+Plant_Information!$B$12</f>
        <v>CLEVELAND, OH, 44115</v>
      </c>
      <c r="AA915" s="131" t="str">
        <f>+Plant_Information!$B$13</f>
        <v>12</v>
      </c>
      <c r="AB915" s="131" t="str">
        <f>+Plant_Information!$B$14</f>
        <v>CUY</v>
      </c>
      <c r="AC915" s="70"/>
    </row>
    <row r="916" spans="17:29" x14ac:dyDescent="0.2">
      <c r="Q916" t="str">
        <f>Plant_Information!$B$6</f>
        <v>(INSERT VENDOR NAME HERE)</v>
      </c>
      <c r="R916" t="str">
        <f>'HAULING RATES- ODOT Locations'!$A$80</f>
        <v>District 5</v>
      </c>
      <c r="S916" t="str">
        <f>'HAULING RATES- ODOT Locations'!A97</f>
        <v>Licking</v>
      </c>
      <c r="T916" t="str">
        <f>'HAULING RATES- ODOT Locations'!B97</f>
        <v>Marne OP, 11416 Marne Rd., Newark, OH 43055</v>
      </c>
      <c r="U916" t="str">
        <f>'HAULING RATES- ODOT Locations'!G$8</f>
        <v>Dump Rock</v>
      </c>
      <c r="V916" s="146">
        <f>'HAULING RATES- ODOT Locations'!G97</f>
        <v>0</v>
      </c>
      <c r="W916" s="131" t="str">
        <f>+'Aggregate, Plant Pick-up'!$C$6</f>
        <v>LAFARGE-MARBLEHEAD "OSBORNE-CLEVELAND"</v>
      </c>
      <c r="X916" s="131" t="str">
        <f>+Plant_Information!$B$10</f>
        <v>04105-28</v>
      </c>
      <c r="Y916" s="131" t="str">
        <f>+Plant_Information!$B$11</f>
        <v>2100 CENTRAL FURNACE ROAD</v>
      </c>
      <c r="Z916" s="131" t="str">
        <f>+Plant_Information!$B$12</f>
        <v>CLEVELAND, OH, 44115</v>
      </c>
      <c r="AA916" s="131" t="str">
        <f>+Plant_Information!$B$13</f>
        <v>12</v>
      </c>
      <c r="AB916" s="131" t="str">
        <f>+Plant_Information!$B$14</f>
        <v>CUY</v>
      </c>
      <c r="AC916" s="70"/>
    </row>
    <row r="917" spans="17:29" x14ac:dyDescent="0.2">
      <c r="Q917" t="str">
        <f>Plant_Information!$B$6</f>
        <v>(INSERT VENDOR NAME HERE)</v>
      </c>
      <c r="R917" t="str">
        <f>'HAULING RATES- ODOT Locations'!$A$80</f>
        <v>District 5</v>
      </c>
      <c r="S917" t="str">
        <f>'HAULING RATES- ODOT Locations'!A98</f>
        <v>Muskingum</v>
      </c>
      <c r="T917" t="str">
        <f>'HAULING RATES- ODOT Locations'!B98</f>
        <v>3399 East Pike, Zanesville, OH 43701</v>
      </c>
      <c r="U917" t="str">
        <f>'HAULING RATES- ODOT Locations'!G$8</f>
        <v>Dump Rock</v>
      </c>
      <c r="V917" s="146">
        <f>'HAULING RATES- ODOT Locations'!G98</f>
        <v>0</v>
      </c>
      <c r="W917" s="131" t="str">
        <f>+'Aggregate, Plant Pick-up'!$C$6</f>
        <v>LAFARGE-MARBLEHEAD "OSBORNE-CLEVELAND"</v>
      </c>
      <c r="X917" s="131" t="str">
        <f>+Plant_Information!$B$10</f>
        <v>04105-28</v>
      </c>
      <c r="Y917" s="131" t="str">
        <f>+Plant_Information!$B$11</f>
        <v>2100 CENTRAL FURNACE ROAD</v>
      </c>
      <c r="Z917" s="131" t="str">
        <f>+Plant_Information!$B$12</f>
        <v>CLEVELAND, OH, 44115</v>
      </c>
      <c r="AA917" s="131" t="str">
        <f>+Plant_Information!$B$13</f>
        <v>12</v>
      </c>
      <c r="AB917" s="131" t="str">
        <f>+Plant_Information!$B$14</f>
        <v>CUY</v>
      </c>
      <c r="AC917" s="70"/>
    </row>
    <row r="918" spans="17:29" x14ac:dyDescent="0.2">
      <c r="Q918" t="str">
        <f>Plant_Information!$B$6</f>
        <v>(INSERT VENDOR NAME HERE)</v>
      </c>
      <c r="R918" t="str">
        <f>'HAULING RATES- ODOT Locations'!$A$80</f>
        <v>District 5</v>
      </c>
      <c r="S918" t="str">
        <f>'HAULING RATES- ODOT Locations'!A99</f>
        <v>Muskingum</v>
      </c>
      <c r="T918" t="str">
        <f>'HAULING RATES- ODOT Locations'!B99</f>
        <v>10040 North Pointe Rd., Dresden, OH 43821</v>
      </c>
      <c r="U918" t="str">
        <f>'HAULING RATES- ODOT Locations'!G$8</f>
        <v>Dump Rock</v>
      </c>
      <c r="V918" s="146">
        <f>'HAULING RATES- ODOT Locations'!G99</f>
        <v>0</v>
      </c>
      <c r="W918" s="131" t="str">
        <f>+'Aggregate, Plant Pick-up'!$C$6</f>
        <v>LAFARGE-MARBLEHEAD "OSBORNE-CLEVELAND"</v>
      </c>
      <c r="X918" s="131" t="str">
        <f>+Plant_Information!$B$10</f>
        <v>04105-28</v>
      </c>
      <c r="Y918" s="131" t="str">
        <f>+Plant_Information!$B$11</f>
        <v>2100 CENTRAL FURNACE ROAD</v>
      </c>
      <c r="Z918" s="131" t="str">
        <f>+Plant_Information!$B$12</f>
        <v>CLEVELAND, OH, 44115</v>
      </c>
      <c r="AA918" s="131" t="str">
        <f>+Plant_Information!$B$13</f>
        <v>12</v>
      </c>
      <c r="AB918" s="131" t="str">
        <f>+Plant_Information!$B$14</f>
        <v>CUY</v>
      </c>
      <c r="AC918" s="70"/>
    </row>
    <row r="919" spans="17:29" x14ac:dyDescent="0.2">
      <c r="Q919" t="str">
        <f>Plant_Information!$B$6</f>
        <v>(INSERT VENDOR NAME HERE)</v>
      </c>
      <c r="R919" t="str">
        <f>'HAULING RATES- ODOT Locations'!$A$80</f>
        <v>District 5</v>
      </c>
      <c r="S919" t="str">
        <f>'HAULING RATES- ODOT Locations'!A100</f>
        <v>Muskingum</v>
      </c>
      <c r="T919" t="str">
        <f>'HAULING RATES- ODOT Locations'!B100</f>
        <v>4625 South River Road, Duncan Falls, OH 43734</v>
      </c>
      <c r="U919" t="str">
        <f>'HAULING RATES- ODOT Locations'!G$8</f>
        <v>Dump Rock</v>
      </c>
      <c r="V919" s="146">
        <f>'HAULING RATES- ODOT Locations'!G100</f>
        <v>0</v>
      </c>
      <c r="W919" s="131" t="str">
        <f>+'Aggregate, Plant Pick-up'!$C$6</f>
        <v>LAFARGE-MARBLEHEAD "OSBORNE-CLEVELAND"</v>
      </c>
      <c r="X919" s="131" t="str">
        <f>+Plant_Information!$B$10</f>
        <v>04105-28</v>
      </c>
      <c r="Y919" s="131" t="str">
        <f>+Plant_Information!$B$11</f>
        <v>2100 CENTRAL FURNACE ROAD</v>
      </c>
      <c r="Z919" s="131" t="str">
        <f>+Plant_Information!$B$12</f>
        <v>CLEVELAND, OH, 44115</v>
      </c>
      <c r="AA919" s="131" t="str">
        <f>+Plant_Information!$B$13</f>
        <v>12</v>
      </c>
      <c r="AB919" s="131" t="str">
        <f>+Plant_Information!$B$14</f>
        <v>CUY</v>
      </c>
      <c r="AC919" s="70"/>
    </row>
    <row r="920" spans="17:29" x14ac:dyDescent="0.2">
      <c r="Q920" t="str">
        <f>Plant_Information!$B$6</f>
        <v>(INSERT VENDOR NAME HERE)</v>
      </c>
      <c r="R920" t="str">
        <f>'HAULING RATES- ODOT Locations'!$A$80</f>
        <v>District 5</v>
      </c>
      <c r="S920" t="str">
        <f>'HAULING RATES- ODOT Locations'!A101</f>
        <v>Muskingum</v>
      </c>
      <c r="T920" t="str">
        <f>'HAULING RATES- ODOT Locations'!B101</f>
        <v>Moxahala OP, 3799 Maysville Pike, South Zanesville, OH 43701</v>
      </c>
      <c r="U920" t="str">
        <f>'HAULING RATES- ODOT Locations'!G$8</f>
        <v>Dump Rock</v>
      </c>
      <c r="V920" s="146">
        <f>'HAULING RATES- ODOT Locations'!G101</f>
        <v>0</v>
      </c>
      <c r="W920" s="131" t="str">
        <f>+'Aggregate, Plant Pick-up'!$C$6</f>
        <v>LAFARGE-MARBLEHEAD "OSBORNE-CLEVELAND"</v>
      </c>
      <c r="X920" s="131" t="str">
        <f>+Plant_Information!$B$10</f>
        <v>04105-28</v>
      </c>
      <c r="Y920" s="131" t="str">
        <f>+Plant_Information!$B$11</f>
        <v>2100 CENTRAL FURNACE ROAD</v>
      </c>
      <c r="Z920" s="131" t="str">
        <f>+Plant_Information!$B$12</f>
        <v>CLEVELAND, OH, 44115</v>
      </c>
      <c r="AA920" s="131" t="str">
        <f>+Plant_Information!$B$13</f>
        <v>12</v>
      </c>
      <c r="AB920" s="131" t="str">
        <f>+Plant_Information!$B$14</f>
        <v>CUY</v>
      </c>
      <c r="AC920" s="70"/>
    </row>
    <row r="921" spans="17:29" x14ac:dyDescent="0.2">
      <c r="Q921" t="str">
        <f>Plant_Information!$B$6</f>
        <v>(INSERT VENDOR NAME HERE)</v>
      </c>
      <c r="R921" t="str">
        <f>'HAULING RATES- ODOT Locations'!$A$80</f>
        <v>District 5</v>
      </c>
      <c r="S921" t="str">
        <f>'HAULING RATES- ODOT Locations'!A102</f>
        <v>Perry</v>
      </c>
      <c r="T921" t="str">
        <f>'HAULING RATES- ODOT Locations'!B102</f>
        <v>2405 SR 13, New Lexington, OH 43764  ( 0.3 mi. n. of SR 37)</v>
      </c>
      <c r="U921" t="str">
        <f>'HAULING RATES- ODOT Locations'!G$8</f>
        <v>Dump Rock</v>
      </c>
      <c r="V921" s="146">
        <f>'HAULING RATES- ODOT Locations'!G102</f>
        <v>0</v>
      </c>
      <c r="W921" s="131" t="str">
        <f>+'Aggregate, Plant Pick-up'!$C$6</f>
        <v>LAFARGE-MARBLEHEAD "OSBORNE-CLEVELAND"</v>
      </c>
      <c r="X921" s="131" t="str">
        <f>+Plant_Information!$B$10</f>
        <v>04105-28</v>
      </c>
      <c r="Y921" s="131" t="str">
        <f>+Plant_Information!$B$11</f>
        <v>2100 CENTRAL FURNACE ROAD</v>
      </c>
      <c r="Z921" s="131" t="str">
        <f>+Plant_Information!$B$12</f>
        <v>CLEVELAND, OH, 44115</v>
      </c>
      <c r="AA921" s="131" t="str">
        <f>+Plant_Information!$B$13</f>
        <v>12</v>
      </c>
      <c r="AB921" s="131" t="str">
        <f>+Plant_Information!$B$14</f>
        <v>CUY</v>
      </c>
      <c r="AC921" s="70"/>
    </row>
    <row r="922" spans="17:29" x14ac:dyDescent="0.2">
      <c r="Q922" t="str">
        <f>Plant_Information!$B$6</f>
        <v>(INSERT VENDOR NAME HERE)</v>
      </c>
      <c r="R922" t="str">
        <f>'HAULING RATES- ODOT Locations'!$A$80</f>
        <v>District 5</v>
      </c>
      <c r="S922" t="str">
        <f>'HAULING RATES- ODOT Locations'!A103</f>
        <v>Perry</v>
      </c>
      <c r="T922" t="str">
        <f>'HAULING RATES- ODOT Locations'!B103</f>
        <v>8686 SR 155, Shawnee, OH 43782</v>
      </c>
      <c r="U922" t="str">
        <f>'HAULING RATES- ODOT Locations'!G$8</f>
        <v>Dump Rock</v>
      </c>
      <c r="V922" s="146">
        <f>'HAULING RATES- ODOT Locations'!G103</f>
        <v>0</v>
      </c>
      <c r="W922" s="131" t="str">
        <f>+'Aggregate, Plant Pick-up'!$C$6</f>
        <v>LAFARGE-MARBLEHEAD "OSBORNE-CLEVELAND"</v>
      </c>
      <c r="X922" s="131" t="str">
        <f>+Plant_Information!$B$10</f>
        <v>04105-28</v>
      </c>
      <c r="Y922" s="131" t="str">
        <f>+Plant_Information!$B$11</f>
        <v>2100 CENTRAL FURNACE ROAD</v>
      </c>
      <c r="Z922" s="131" t="str">
        <f>+Plant_Information!$B$12</f>
        <v>CLEVELAND, OH, 44115</v>
      </c>
      <c r="AA922" s="131" t="str">
        <f>+Plant_Information!$B$13</f>
        <v>12</v>
      </c>
      <c r="AB922" s="131" t="str">
        <f>+Plant_Information!$B$14</f>
        <v>CUY</v>
      </c>
      <c r="AC922" s="70"/>
    </row>
    <row r="923" spans="17:29" x14ac:dyDescent="0.2">
      <c r="Q923" t="str">
        <f>Plant_Information!$B$6</f>
        <v>(INSERT VENDOR NAME HERE)</v>
      </c>
      <c r="R923" t="str">
        <f>'HAULING RATES- ODOT Locations'!$A$104</f>
        <v>District 6</v>
      </c>
      <c r="S923" t="str">
        <f>'HAULING RATES- ODOT Locations'!A107</f>
        <v>Delaware</v>
      </c>
      <c r="T923" t="str">
        <f>'HAULING RATES- ODOT Locations'!B107</f>
        <v>Delaware Co. Gar.,1150 U.S. 42 North, Delaware, OH 43015</v>
      </c>
      <c r="U923" t="str">
        <f>'HAULING RATES- ODOT Locations'!G$8</f>
        <v>Dump Rock</v>
      </c>
      <c r="V923" s="146">
        <f>'HAULING RATES- ODOT Locations'!G107</f>
        <v>0</v>
      </c>
      <c r="W923" s="131" t="str">
        <f>+'Aggregate, Plant Pick-up'!$C$6</f>
        <v>LAFARGE-MARBLEHEAD "OSBORNE-CLEVELAND"</v>
      </c>
      <c r="X923" s="131" t="str">
        <f>+Plant_Information!$B$10</f>
        <v>04105-28</v>
      </c>
      <c r="Y923" s="131" t="str">
        <f>+Plant_Information!$B$11</f>
        <v>2100 CENTRAL FURNACE ROAD</v>
      </c>
      <c r="Z923" s="131" t="str">
        <f>+Plant_Information!$B$12</f>
        <v>CLEVELAND, OH, 44115</v>
      </c>
      <c r="AA923" s="131" t="str">
        <f>+Plant_Information!$B$13</f>
        <v>12</v>
      </c>
      <c r="AB923" s="131" t="str">
        <f>+Plant_Information!$B$14</f>
        <v>CUY</v>
      </c>
      <c r="AC923" s="70"/>
    </row>
    <row r="924" spans="17:29" x14ac:dyDescent="0.2">
      <c r="Q924" t="str">
        <f>Plant_Information!$B$6</f>
        <v>(INSERT VENDOR NAME HERE)</v>
      </c>
      <c r="R924" t="str">
        <f>'HAULING RATES- ODOT Locations'!$A$104</f>
        <v>District 6</v>
      </c>
      <c r="S924" t="str">
        <f>'HAULING RATES- ODOT Locations'!A108</f>
        <v>Delaware</v>
      </c>
      <c r="T924" t="str">
        <f>'HAULING RATES- ODOT Locations'!B108</f>
        <v>Berkshire OP, 7016 E State Route 37, Sunbury, Oh  43074</v>
      </c>
      <c r="U924" t="str">
        <f>'HAULING RATES- ODOT Locations'!G$8</f>
        <v>Dump Rock</v>
      </c>
      <c r="V924" s="146">
        <f>'HAULING RATES- ODOT Locations'!G108</f>
        <v>0</v>
      </c>
      <c r="W924" s="131" t="str">
        <f>+'Aggregate, Plant Pick-up'!$C$6</f>
        <v>LAFARGE-MARBLEHEAD "OSBORNE-CLEVELAND"</v>
      </c>
      <c r="X924" s="131" t="str">
        <f>+Plant_Information!$B$10</f>
        <v>04105-28</v>
      </c>
      <c r="Y924" s="131" t="str">
        <f>+Plant_Information!$B$11</f>
        <v>2100 CENTRAL FURNACE ROAD</v>
      </c>
      <c r="Z924" s="131" t="str">
        <f>+Plant_Information!$B$12</f>
        <v>CLEVELAND, OH, 44115</v>
      </c>
      <c r="AA924" s="131" t="str">
        <f>+Plant_Information!$B$13</f>
        <v>12</v>
      </c>
      <c r="AB924" s="131" t="str">
        <f>+Plant_Information!$B$14</f>
        <v>CUY</v>
      </c>
      <c r="AC924" s="70"/>
    </row>
    <row r="925" spans="17:29" x14ac:dyDescent="0.2">
      <c r="Q925" t="str">
        <f>Plant_Information!$B$6</f>
        <v>(INSERT VENDOR NAME HERE)</v>
      </c>
      <c r="R925" t="str">
        <f>'HAULING RATES- ODOT Locations'!$A$104</f>
        <v>District 6</v>
      </c>
      <c r="S925" t="str">
        <f>'HAULING RATES- ODOT Locations'!A109</f>
        <v>Delaware</v>
      </c>
      <c r="T925" t="str">
        <f>'HAULING RATES- ODOT Locations'!B109</f>
        <v>Sunbury OP, Morning St., Sunbury</v>
      </c>
      <c r="U925" t="str">
        <f>'HAULING RATES- ODOT Locations'!G$8</f>
        <v>Dump Rock</v>
      </c>
      <c r="V925" s="146">
        <f>'HAULING RATES- ODOT Locations'!G109</f>
        <v>0</v>
      </c>
      <c r="W925" s="131" t="str">
        <f>+'Aggregate, Plant Pick-up'!$C$6</f>
        <v>LAFARGE-MARBLEHEAD "OSBORNE-CLEVELAND"</v>
      </c>
      <c r="X925" s="131" t="str">
        <f>+Plant_Information!$B$10</f>
        <v>04105-28</v>
      </c>
      <c r="Y925" s="131" t="str">
        <f>+Plant_Information!$B$11</f>
        <v>2100 CENTRAL FURNACE ROAD</v>
      </c>
      <c r="Z925" s="131" t="str">
        <f>+Plant_Information!$B$12</f>
        <v>CLEVELAND, OH, 44115</v>
      </c>
      <c r="AA925" s="131" t="str">
        <f>+Plant_Information!$B$13</f>
        <v>12</v>
      </c>
      <c r="AB925" s="131" t="str">
        <f>+Plant_Information!$B$14</f>
        <v>CUY</v>
      </c>
      <c r="AC925" s="70"/>
    </row>
    <row r="926" spans="17:29" x14ac:dyDescent="0.2">
      <c r="Q926" t="str">
        <f>Plant_Information!$B$6</f>
        <v>(INSERT VENDOR NAME HERE)</v>
      </c>
      <c r="R926" t="str">
        <f>'HAULING RATES- ODOT Locations'!$A$104</f>
        <v>District 6</v>
      </c>
      <c r="S926" t="str">
        <f>'HAULING RATES- ODOT Locations'!A110</f>
        <v>Fayette</v>
      </c>
      <c r="T926" t="str">
        <f>'HAULING RATES- ODOT Locations'!B110</f>
        <v>Fayette Co. Gar., 2331 US 22 SW, Washington Court House, OH 43160</v>
      </c>
      <c r="U926" t="str">
        <f>'HAULING RATES- ODOT Locations'!G$8</f>
        <v>Dump Rock</v>
      </c>
      <c r="V926" s="146">
        <f>'HAULING RATES- ODOT Locations'!G110</f>
        <v>0</v>
      </c>
      <c r="W926" s="131" t="str">
        <f>+'Aggregate, Plant Pick-up'!$C$6</f>
        <v>LAFARGE-MARBLEHEAD "OSBORNE-CLEVELAND"</v>
      </c>
      <c r="X926" s="131" t="str">
        <f>+Plant_Information!$B$10</f>
        <v>04105-28</v>
      </c>
      <c r="Y926" s="131" t="str">
        <f>+Plant_Information!$B$11</f>
        <v>2100 CENTRAL FURNACE ROAD</v>
      </c>
      <c r="Z926" s="131" t="str">
        <f>+Plant_Information!$B$12</f>
        <v>CLEVELAND, OH, 44115</v>
      </c>
      <c r="AA926" s="131" t="str">
        <f>+Plant_Information!$B$13</f>
        <v>12</v>
      </c>
      <c r="AB926" s="131" t="str">
        <f>+Plant_Information!$B$14</f>
        <v>CUY</v>
      </c>
      <c r="AC926" s="70"/>
    </row>
    <row r="927" spans="17:29" x14ac:dyDescent="0.2">
      <c r="Q927" t="str">
        <f>Plant_Information!$B$6</f>
        <v>(INSERT VENDOR NAME HERE)</v>
      </c>
      <c r="R927" t="str">
        <f>'HAULING RATES- ODOT Locations'!$A$104</f>
        <v>District 6</v>
      </c>
      <c r="S927" t="str">
        <f>'HAULING RATES- ODOT Locations'!A111</f>
        <v>Fayette</v>
      </c>
      <c r="T927" t="str">
        <f>'HAULING RATES- ODOT Locations'!B111</f>
        <v>Jeffersonville OP, 11859 OH-435, Jeffersonville, OH 43128</v>
      </c>
      <c r="U927" t="str">
        <f>'HAULING RATES- ODOT Locations'!G$8</f>
        <v>Dump Rock</v>
      </c>
      <c r="V927" s="146">
        <f>'HAULING RATES- ODOT Locations'!G111</f>
        <v>0</v>
      </c>
      <c r="W927" s="131" t="str">
        <f>+'Aggregate, Plant Pick-up'!$C$6</f>
        <v>LAFARGE-MARBLEHEAD "OSBORNE-CLEVELAND"</v>
      </c>
      <c r="X927" s="131" t="str">
        <f>+Plant_Information!$B$10</f>
        <v>04105-28</v>
      </c>
      <c r="Y927" s="131" t="str">
        <f>+Plant_Information!$B$11</f>
        <v>2100 CENTRAL FURNACE ROAD</v>
      </c>
      <c r="Z927" s="131" t="str">
        <f>+Plant_Information!$B$12</f>
        <v>CLEVELAND, OH, 44115</v>
      </c>
      <c r="AA927" s="131" t="str">
        <f>+Plant_Information!$B$13</f>
        <v>12</v>
      </c>
      <c r="AB927" s="131" t="str">
        <f>+Plant_Information!$B$14</f>
        <v>CUY</v>
      </c>
      <c r="AC927" s="70"/>
    </row>
    <row r="928" spans="17:29" x14ac:dyDescent="0.2">
      <c r="Q928" t="str">
        <f>Plant_Information!$B$6</f>
        <v>(INSERT VENDOR NAME HERE)</v>
      </c>
      <c r="R928" t="str">
        <f>'HAULING RATES- ODOT Locations'!$A$104</f>
        <v>District 6</v>
      </c>
      <c r="S928" t="str">
        <f>'HAULING RATES- ODOT Locations'!A112</f>
        <v>Franklin</v>
      </c>
      <c r="T928" t="str">
        <f>'HAULING RATES- ODOT Locations'!B112</f>
        <v>Fifth Ave. OP, 3500 E Fifth Avenue, Columbus OH 43219</v>
      </c>
      <c r="U928" t="str">
        <f>'HAULING RATES- ODOT Locations'!G$8</f>
        <v>Dump Rock</v>
      </c>
      <c r="V928" s="146">
        <f>'HAULING RATES- ODOT Locations'!G112</f>
        <v>0</v>
      </c>
      <c r="W928" s="131" t="str">
        <f>+'Aggregate, Plant Pick-up'!$C$6</f>
        <v>LAFARGE-MARBLEHEAD "OSBORNE-CLEVELAND"</v>
      </c>
      <c r="X928" s="131" t="str">
        <f>+Plant_Information!$B$10</f>
        <v>04105-28</v>
      </c>
      <c r="Y928" s="131" t="str">
        <f>+Plant_Information!$B$11</f>
        <v>2100 CENTRAL FURNACE ROAD</v>
      </c>
      <c r="Z928" s="131" t="str">
        <f>+Plant_Information!$B$12</f>
        <v>CLEVELAND, OH, 44115</v>
      </c>
      <c r="AA928" s="131" t="str">
        <f>+Plant_Information!$B$13</f>
        <v>12</v>
      </c>
      <c r="AB928" s="131" t="str">
        <f>+Plant_Information!$B$14</f>
        <v>CUY</v>
      </c>
      <c r="AC928" s="70"/>
    </row>
    <row r="929" spans="17:29" x14ac:dyDescent="0.2">
      <c r="Q929" t="str">
        <f>Plant_Information!$B$6</f>
        <v>(INSERT VENDOR NAME HERE)</v>
      </c>
      <c r="R929" t="str">
        <f>'HAULING RATES- ODOT Locations'!$A$104</f>
        <v>District 6</v>
      </c>
      <c r="S929" t="str">
        <f>'HAULING RATES- ODOT Locations'!A113</f>
        <v>Franklin</v>
      </c>
      <c r="T929" t="str">
        <f>'HAULING RATES- ODOT Locations'!B113</f>
        <v>Grove City OP, 6000 Haughn Road, Grove City OH 43123 (SR 665 &amp; I-71)</v>
      </c>
      <c r="U929" t="str">
        <f>'HAULING RATES- ODOT Locations'!G$8</f>
        <v>Dump Rock</v>
      </c>
      <c r="V929" s="146">
        <f>'HAULING RATES- ODOT Locations'!G113</f>
        <v>0</v>
      </c>
      <c r="W929" s="131" t="str">
        <f>+'Aggregate, Plant Pick-up'!$C$6</f>
        <v>LAFARGE-MARBLEHEAD "OSBORNE-CLEVELAND"</v>
      </c>
      <c r="X929" s="131" t="str">
        <f>+Plant_Information!$B$10</f>
        <v>04105-28</v>
      </c>
      <c r="Y929" s="131" t="str">
        <f>+Plant_Information!$B$11</f>
        <v>2100 CENTRAL FURNACE ROAD</v>
      </c>
      <c r="Z929" s="131" t="str">
        <f>+Plant_Information!$B$12</f>
        <v>CLEVELAND, OH, 44115</v>
      </c>
      <c r="AA929" s="131" t="str">
        <f>+Plant_Information!$B$13</f>
        <v>12</v>
      </c>
      <c r="AB929" s="131" t="str">
        <f>+Plant_Information!$B$14</f>
        <v>CUY</v>
      </c>
      <c r="AC929" s="70"/>
    </row>
    <row r="930" spans="17:29" x14ac:dyDescent="0.2">
      <c r="Q930" t="str">
        <f>Plant_Information!$B$6</f>
        <v>(INSERT VENDOR NAME HERE)</v>
      </c>
      <c r="R930" t="str">
        <f>'HAULING RATES- ODOT Locations'!$A$104</f>
        <v>District 6</v>
      </c>
      <c r="S930" t="str">
        <f>'HAULING RATES- ODOT Locations'!A114</f>
        <v>Franklin</v>
      </c>
      <c r="T930" t="str">
        <f>'HAULING RATES- ODOT Locations'!B114</f>
        <v>Franklin Co. Gar.,4730 E Dublin-Granville Road, Westerville OH 43081</v>
      </c>
      <c r="U930" t="str">
        <f>'HAULING RATES- ODOT Locations'!G$8</f>
        <v>Dump Rock</v>
      </c>
      <c r="V930" s="146">
        <f>'HAULING RATES- ODOT Locations'!G114</f>
        <v>0</v>
      </c>
      <c r="W930" s="131" t="str">
        <f>+'Aggregate, Plant Pick-up'!$C$6</f>
        <v>LAFARGE-MARBLEHEAD "OSBORNE-CLEVELAND"</v>
      </c>
      <c r="X930" s="131" t="str">
        <f>+Plant_Information!$B$10</f>
        <v>04105-28</v>
      </c>
      <c r="Y930" s="131" t="str">
        <f>+Plant_Information!$B$11</f>
        <v>2100 CENTRAL FURNACE ROAD</v>
      </c>
      <c r="Z930" s="131" t="str">
        <f>+Plant_Information!$B$12</f>
        <v>CLEVELAND, OH, 44115</v>
      </c>
      <c r="AA930" s="131" t="str">
        <f>+Plant_Information!$B$13</f>
        <v>12</v>
      </c>
      <c r="AB930" s="131" t="str">
        <f>+Plant_Information!$B$14</f>
        <v>CUY</v>
      </c>
      <c r="AC930" s="70"/>
    </row>
    <row r="931" spans="17:29" x14ac:dyDescent="0.2">
      <c r="Q931" t="str">
        <f>Plant_Information!$B$6</f>
        <v>(INSERT VENDOR NAME HERE)</v>
      </c>
      <c r="R931" t="str">
        <f>'HAULING RATES- ODOT Locations'!$A$104</f>
        <v>District 6</v>
      </c>
      <c r="S931" t="str">
        <f>'HAULING RATES- ODOT Locations'!A115</f>
        <v>Franklin</v>
      </c>
      <c r="T931" t="str">
        <f>'HAULING RATES- ODOT Locations'!B115</f>
        <v>Hilliard OP, 4400 Currency Drive, Columbus OH 43288</v>
      </c>
      <c r="U931" t="str">
        <f>'HAULING RATES- ODOT Locations'!G$8</f>
        <v>Dump Rock</v>
      </c>
      <c r="V931" s="146">
        <f>'HAULING RATES- ODOT Locations'!G115</f>
        <v>0</v>
      </c>
      <c r="W931" s="131" t="str">
        <f>+'Aggregate, Plant Pick-up'!$C$6</f>
        <v>LAFARGE-MARBLEHEAD "OSBORNE-CLEVELAND"</v>
      </c>
      <c r="X931" s="131" t="str">
        <f>+Plant_Information!$B$10</f>
        <v>04105-28</v>
      </c>
      <c r="Y931" s="131" t="str">
        <f>+Plant_Information!$B$11</f>
        <v>2100 CENTRAL FURNACE ROAD</v>
      </c>
      <c r="Z931" s="131" t="str">
        <f>+Plant_Information!$B$12</f>
        <v>CLEVELAND, OH, 44115</v>
      </c>
      <c r="AA931" s="131" t="str">
        <f>+Plant_Information!$B$13</f>
        <v>12</v>
      </c>
      <c r="AB931" s="131" t="str">
        <f>+Plant_Information!$B$14</f>
        <v>CUY</v>
      </c>
      <c r="AC931" s="70"/>
    </row>
    <row r="932" spans="17:29" x14ac:dyDescent="0.2">
      <c r="Q932" t="str">
        <f>Plant_Information!$B$6</f>
        <v>(INSERT VENDOR NAME HERE)</v>
      </c>
      <c r="R932" t="str">
        <f>'HAULING RATES- ODOT Locations'!$A$104</f>
        <v>District 6</v>
      </c>
      <c r="S932" t="str">
        <f>'HAULING RATES- ODOT Locations'!A116</f>
        <v>Madison</v>
      </c>
      <c r="T932" t="str">
        <f>'HAULING RATES- ODOT Locations'!B116</f>
        <v>6640 State Route 29, West Jefferson, OH  43162</v>
      </c>
      <c r="U932" t="str">
        <f>'HAULING RATES- ODOT Locations'!G$8</f>
        <v>Dump Rock</v>
      </c>
      <c r="V932" s="146">
        <f>'HAULING RATES- ODOT Locations'!G116</f>
        <v>0</v>
      </c>
      <c r="W932" s="131" t="str">
        <f>+'Aggregate, Plant Pick-up'!$C$6</f>
        <v>LAFARGE-MARBLEHEAD "OSBORNE-CLEVELAND"</v>
      </c>
      <c r="X932" s="131" t="str">
        <f>+Plant_Information!$B$10</f>
        <v>04105-28</v>
      </c>
      <c r="Y932" s="131" t="str">
        <f>+Plant_Information!$B$11</f>
        <v>2100 CENTRAL FURNACE ROAD</v>
      </c>
      <c r="Z932" s="131" t="str">
        <f>+Plant_Information!$B$12</f>
        <v>CLEVELAND, OH, 44115</v>
      </c>
      <c r="AA932" s="131" t="str">
        <f>+Plant_Information!$B$13</f>
        <v>12</v>
      </c>
      <c r="AB932" s="131" t="str">
        <f>+Plant_Information!$B$14</f>
        <v>CUY</v>
      </c>
      <c r="AC932" s="70"/>
    </row>
    <row r="933" spans="17:29" x14ac:dyDescent="0.2">
      <c r="Q933" t="str">
        <f>Plant_Information!$B$6</f>
        <v>(INSERT VENDOR NAME HERE)</v>
      </c>
      <c r="R933" t="str">
        <f>'HAULING RATES- ODOT Locations'!$A$104</f>
        <v>District 6</v>
      </c>
      <c r="S933" t="str">
        <f>'HAULING RATES- ODOT Locations'!A117</f>
        <v>Madison</v>
      </c>
      <c r="T933" t="str">
        <f>'HAULING RATES- ODOT Locations'!B117</f>
        <v>15664 US 62, Mount Sterling, OH 43143</v>
      </c>
      <c r="U933" t="str">
        <f>'HAULING RATES- ODOT Locations'!G$8</f>
        <v>Dump Rock</v>
      </c>
      <c r="V933" s="146">
        <f>'HAULING RATES- ODOT Locations'!G117</f>
        <v>0</v>
      </c>
      <c r="W933" s="131" t="str">
        <f>+'Aggregate, Plant Pick-up'!$C$6</f>
        <v>LAFARGE-MARBLEHEAD "OSBORNE-CLEVELAND"</v>
      </c>
      <c r="X933" s="131" t="str">
        <f>+Plant_Information!$B$10</f>
        <v>04105-28</v>
      </c>
      <c r="Y933" s="131" t="str">
        <f>+Plant_Information!$B$11</f>
        <v>2100 CENTRAL FURNACE ROAD</v>
      </c>
      <c r="Z933" s="131" t="str">
        <f>+Plant_Information!$B$12</f>
        <v>CLEVELAND, OH, 44115</v>
      </c>
      <c r="AA933" s="131" t="str">
        <f>+Plant_Information!$B$13</f>
        <v>12</v>
      </c>
      <c r="AB933" s="131" t="str">
        <f>+Plant_Information!$B$14</f>
        <v>CUY</v>
      </c>
      <c r="AC933" s="70"/>
    </row>
    <row r="934" spans="17:29" x14ac:dyDescent="0.2">
      <c r="Q934" t="str">
        <f>Plant_Information!$B$6</f>
        <v>(INSERT VENDOR NAME HERE)</v>
      </c>
      <c r="R934" t="str">
        <f>'HAULING RATES- ODOT Locations'!$A$104</f>
        <v>District 6</v>
      </c>
      <c r="S934" t="str">
        <f>'HAULING RATES- ODOT Locations'!A118</f>
        <v>Marion</v>
      </c>
      <c r="T934" t="str">
        <f>'HAULING RATES- ODOT Locations'!B118</f>
        <v>Marion Co. Gar., 1775 Marion-Williamsport Road E., Marion, OH 43302</v>
      </c>
      <c r="U934" t="str">
        <f>'HAULING RATES- ODOT Locations'!G$8</f>
        <v>Dump Rock</v>
      </c>
      <c r="V934" s="146">
        <f>'HAULING RATES- ODOT Locations'!G118</f>
        <v>0</v>
      </c>
      <c r="W934" s="131" t="str">
        <f>+'Aggregate, Plant Pick-up'!$C$6</f>
        <v>LAFARGE-MARBLEHEAD "OSBORNE-CLEVELAND"</v>
      </c>
      <c r="X934" s="131" t="str">
        <f>+Plant_Information!$B$10</f>
        <v>04105-28</v>
      </c>
      <c r="Y934" s="131" t="str">
        <f>+Plant_Information!$B$11</f>
        <v>2100 CENTRAL FURNACE ROAD</v>
      </c>
      <c r="Z934" s="131" t="str">
        <f>+Plant_Information!$B$12</f>
        <v>CLEVELAND, OH, 44115</v>
      </c>
      <c r="AA934" s="131" t="str">
        <f>+Plant_Information!$B$13</f>
        <v>12</v>
      </c>
      <c r="AB934" s="131" t="str">
        <f>+Plant_Information!$B$14</f>
        <v>CUY</v>
      </c>
      <c r="AC934" s="70"/>
    </row>
    <row r="935" spans="17:29" x14ac:dyDescent="0.2">
      <c r="Q935" t="str">
        <f>Plant_Information!$B$6</f>
        <v>(INSERT VENDOR NAME HERE)</v>
      </c>
      <c r="R935" t="str">
        <f>'HAULING RATES- ODOT Locations'!$A$104</f>
        <v>District 6</v>
      </c>
      <c r="S935" t="str">
        <f>'HAULING RATES- ODOT Locations'!A119</f>
        <v>Morrow</v>
      </c>
      <c r="T935" t="str">
        <f>'HAULING RATES- ODOT Locations'!B119</f>
        <v>Chesterville OP, 3988 Co Rd 172, Mount Gilead, OH 43338</v>
      </c>
      <c r="U935" t="str">
        <f>'HAULING RATES- ODOT Locations'!G$8</f>
        <v>Dump Rock</v>
      </c>
      <c r="V935" s="146">
        <f>'HAULING RATES- ODOT Locations'!G119</f>
        <v>0</v>
      </c>
      <c r="W935" s="131" t="str">
        <f>+'Aggregate, Plant Pick-up'!$C$6</f>
        <v>LAFARGE-MARBLEHEAD "OSBORNE-CLEVELAND"</v>
      </c>
      <c r="X935" s="131" t="str">
        <f>+Plant_Information!$B$10</f>
        <v>04105-28</v>
      </c>
      <c r="Y935" s="131" t="str">
        <f>+Plant_Information!$B$11</f>
        <v>2100 CENTRAL FURNACE ROAD</v>
      </c>
      <c r="Z935" s="131" t="str">
        <f>+Plant_Information!$B$12</f>
        <v>CLEVELAND, OH, 44115</v>
      </c>
      <c r="AA935" s="131" t="str">
        <f>+Plant_Information!$B$13</f>
        <v>12</v>
      </c>
      <c r="AB935" s="131" t="str">
        <f>+Plant_Information!$B$14</f>
        <v>CUY</v>
      </c>
      <c r="AC935" s="70"/>
    </row>
    <row r="936" spans="17:29" x14ac:dyDescent="0.2">
      <c r="Q936" t="str">
        <f>Plant_Information!$B$6</f>
        <v>(INSERT VENDOR NAME HERE)</v>
      </c>
      <c r="R936" t="str">
        <f>'HAULING RATES- ODOT Locations'!$A$104</f>
        <v>District 6</v>
      </c>
      <c r="S936" t="str">
        <f>'HAULING RATES- ODOT Locations'!A120</f>
        <v>Morrow</v>
      </c>
      <c r="T936" t="str">
        <f>'HAULING RATES- ODOT Locations'!B120</f>
        <v>Morrow Co. Gar., 710 E. Union St, Mt. Gilead, OH 43338</v>
      </c>
      <c r="U936" t="str">
        <f>'HAULING RATES- ODOT Locations'!G$8</f>
        <v>Dump Rock</v>
      </c>
      <c r="V936" s="146">
        <f>'HAULING RATES- ODOT Locations'!G120</f>
        <v>0</v>
      </c>
      <c r="W936" s="131" t="str">
        <f>+'Aggregate, Plant Pick-up'!$C$6</f>
        <v>LAFARGE-MARBLEHEAD "OSBORNE-CLEVELAND"</v>
      </c>
      <c r="X936" s="131" t="str">
        <f>+Plant_Information!$B$10</f>
        <v>04105-28</v>
      </c>
      <c r="Y936" s="131" t="str">
        <f>+Plant_Information!$B$11</f>
        <v>2100 CENTRAL FURNACE ROAD</v>
      </c>
      <c r="Z936" s="131" t="str">
        <f>+Plant_Information!$B$12</f>
        <v>CLEVELAND, OH, 44115</v>
      </c>
      <c r="AA936" s="131" t="str">
        <f>+Plant_Information!$B$13</f>
        <v>12</v>
      </c>
      <c r="AB936" s="131" t="str">
        <f>+Plant_Information!$B$14</f>
        <v>CUY</v>
      </c>
      <c r="AC936" s="70"/>
    </row>
    <row r="937" spans="17:29" x14ac:dyDescent="0.2">
      <c r="Q937" t="str">
        <f>Plant_Information!$B$6</f>
        <v>(INSERT VENDOR NAME HERE)</v>
      </c>
      <c r="R937" t="str">
        <f>'HAULING RATES- ODOT Locations'!$A$104</f>
        <v>District 6</v>
      </c>
      <c r="S937" t="str">
        <f>'HAULING RATES- ODOT Locations'!A121</f>
        <v>Pickaway</v>
      </c>
      <c r="T937" t="str">
        <f>'HAULING RATES- ODOT Locations'!B121</f>
        <v>Pickaway Co. Gar., 150 Highland Avenue, Circleville, OH 43113</v>
      </c>
      <c r="U937" t="str">
        <f>'HAULING RATES- ODOT Locations'!G$8</f>
        <v>Dump Rock</v>
      </c>
      <c r="V937" s="146">
        <f>'HAULING RATES- ODOT Locations'!G121</f>
        <v>0</v>
      </c>
      <c r="W937" s="131" t="str">
        <f>+'Aggregate, Plant Pick-up'!$C$6</f>
        <v>LAFARGE-MARBLEHEAD "OSBORNE-CLEVELAND"</v>
      </c>
      <c r="X937" s="131" t="str">
        <f>+Plant_Information!$B$10</f>
        <v>04105-28</v>
      </c>
      <c r="Y937" s="131" t="str">
        <f>+Plant_Information!$B$11</f>
        <v>2100 CENTRAL FURNACE ROAD</v>
      </c>
      <c r="Z937" s="131" t="str">
        <f>+Plant_Information!$B$12</f>
        <v>CLEVELAND, OH, 44115</v>
      </c>
      <c r="AA937" s="131" t="str">
        <f>+Plant_Information!$B$13</f>
        <v>12</v>
      </c>
      <c r="AB937" s="131" t="str">
        <f>+Plant_Information!$B$14</f>
        <v>CUY</v>
      </c>
      <c r="AC937" s="70"/>
    </row>
    <row r="938" spans="17:29" x14ac:dyDescent="0.2">
      <c r="Q938" t="str">
        <f>Plant_Information!$B$6</f>
        <v>(INSERT VENDOR NAME HERE)</v>
      </c>
      <c r="R938" t="str">
        <f>'HAULING RATES- ODOT Locations'!$A$104</f>
        <v>District 6</v>
      </c>
      <c r="S938" t="str">
        <f>'HAULING RATES- ODOT Locations'!A122</f>
        <v>Union</v>
      </c>
      <c r="T938" t="str">
        <f>'HAULING RATES- ODOT Locations'!B122</f>
        <v>Union Co. Gar., 1717 Collins Ave Marysville, OH  43040</v>
      </c>
      <c r="U938" t="str">
        <f>'HAULING RATES- ODOT Locations'!G$8</f>
        <v>Dump Rock</v>
      </c>
      <c r="V938" s="146">
        <f>'HAULING RATES- ODOT Locations'!G122</f>
        <v>0</v>
      </c>
      <c r="W938" s="131" t="str">
        <f>+'Aggregate, Plant Pick-up'!$C$6</f>
        <v>LAFARGE-MARBLEHEAD "OSBORNE-CLEVELAND"</v>
      </c>
      <c r="X938" s="131" t="str">
        <f>+Plant_Information!$B$10</f>
        <v>04105-28</v>
      </c>
      <c r="Y938" s="131" t="str">
        <f>+Plant_Information!$B$11</f>
        <v>2100 CENTRAL FURNACE ROAD</v>
      </c>
      <c r="Z938" s="131" t="str">
        <f>+Plant_Information!$B$12</f>
        <v>CLEVELAND, OH, 44115</v>
      </c>
      <c r="AA938" s="131" t="str">
        <f>+Plant_Information!$B$13</f>
        <v>12</v>
      </c>
      <c r="AB938" s="131" t="str">
        <f>+Plant_Information!$B$14</f>
        <v>CUY</v>
      </c>
      <c r="AC938" s="70"/>
    </row>
    <row r="939" spans="17:29" x14ac:dyDescent="0.2">
      <c r="Q939" t="str">
        <f>Plant_Information!$B$6</f>
        <v>(INSERT VENDOR NAME HERE)</v>
      </c>
      <c r="R939" t="str">
        <f>'HAULING RATES- ODOT Locations'!$A$104</f>
        <v>District 6</v>
      </c>
      <c r="S939" t="str">
        <f>'HAULING RATES- ODOT Locations'!A123</f>
        <v>Union</v>
      </c>
      <c r="T939" t="str">
        <f>'HAULING RATES- ODOT Locations'!B123</f>
        <v>Richwood OP, 11304 SR 47, Richwood, OH 43344</v>
      </c>
      <c r="U939" t="str">
        <f>'HAULING RATES- ODOT Locations'!G$8</f>
        <v>Dump Rock</v>
      </c>
      <c r="V939" s="146">
        <f>'HAULING RATES- ODOT Locations'!G123</f>
        <v>0</v>
      </c>
      <c r="W939" s="131" t="str">
        <f>+'Aggregate, Plant Pick-up'!$C$6</f>
        <v>LAFARGE-MARBLEHEAD "OSBORNE-CLEVELAND"</v>
      </c>
      <c r="X939" s="131" t="str">
        <f>+Plant_Information!$B$10</f>
        <v>04105-28</v>
      </c>
      <c r="Y939" s="131" t="str">
        <f>+Plant_Information!$B$11</f>
        <v>2100 CENTRAL FURNACE ROAD</v>
      </c>
      <c r="Z939" s="131" t="str">
        <f>+Plant_Information!$B$12</f>
        <v>CLEVELAND, OH, 44115</v>
      </c>
      <c r="AA939" s="131" t="str">
        <f>+Plant_Information!$B$13</f>
        <v>12</v>
      </c>
      <c r="AB939" s="131" t="str">
        <f>+Plant_Information!$B$14</f>
        <v>CUY</v>
      </c>
      <c r="AC939" s="70"/>
    </row>
    <row r="940" spans="17:29" x14ac:dyDescent="0.2">
      <c r="Q940" t="str">
        <f>Plant_Information!$B$6</f>
        <v>(INSERT VENDOR NAME HERE)</v>
      </c>
      <c r="R940" t="str">
        <f>'HAULING RATES- ODOT Locations'!$A$124</f>
        <v>District 7</v>
      </c>
      <c r="S940" t="str">
        <f>'HAULING RATES- ODOT Locations'!A127</f>
        <v>Auglaize</v>
      </c>
      <c r="T940" t="str">
        <f>'HAULING RATES- ODOT Locations'!B127</f>
        <v>511 Commerce Dr., Wapakoneta, OH 45895</v>
      </c>
      <c r="U940" t="str">
        <f>'HAULING RATES- ODOT Locations'!G$8</f>
        <v>Dump Rock</v>
      </c>
      <c r="V940" s="146">
        <f>'HAULING RATES- ODOT Locations'!G127</f>
        <v>0</v>
      </c>
      <c r="W940" s="131" t="str">
        <f>+'Aggregate, Plant Pick-up'!$C$6</f>
        <v>LAFARGE-MARBLEHEAD "OSBORNE-CLEVELAND"</v>
      </c>
      <c r="X940" s="131" t="str">
        <f>+Plant_Information!$B$10</f>
        <v>04105-28</v>
      </c>
      <c r="Y940" s="131" t="str">
        <f>+Plant_Information!$B$11</f>
        <v>2100 CENTRAL FURNACE ROAD</v>
      </c>
      <c r="Z940" s="131" t="str">
        <f>+Plant_Information!$B$12</f>
        <v>CLEVELAND, OH, 44115</v>
      </c>
      <c r="AA940" s="131" t="str">
        <f>+Plant_Information!$B$13</f>
        <v>12</v>
      </c>
      <c r="AB940" s="131" t="str">
        <f>+Plant_Information!$B$14</f>
        <v>CUY</v>
      </c>
      <c r="AC940" s="70"/>
    </row>
    <row r="941" spans="17:29" x14ac:dyDescent="0.2">
      <c r="Q941" t="str">
        <f>Plant_Information!$B$6</f>
        <v>(INSERT VENDOR NAME HERE)</v>
      </c>
      <c r="R941" t="str">
        <f>'HAULING RATES- ODOT Locations'!$A$124</f>
        <v>District 7</v>
      </c>
      <c r="S941" t="str">
        <f>'HAULING RATES- ODOT Locations'!A128</f>
        <v>Auglaize</v>
      </c>
      <c r="T941" t="str">
        <f>'HAULING RATES- ODOT Locations'!B128</f>
        <v>802 Armstrong Street, Saint Marys, OH 45885</v>
      </c>
      <c r="U941" t="str">
        <f>'HAULING RATES- ODOT Locations'!G$8</f>
        <v>Dump Rock</v>
      </c>
      <c r="V941" s="146">
        <f>'HAULING RATES- ODOT Locations'!G128</f>
        <v>0</v>
      </c>
      <c r="W941" s="131" t="str">
        <f>+'Aggregate, Plant Pick-up'!$C$6</f>
        <v>LAFARGE-MARBLEHEAD "OSBORNE-CLEVELAND"</v>
      </c>
      <c r="X941" s="131" t="str">
        <f>+Plant_Information!$B$10</f>
        <v>04105-28</v>
      </c>
      <c r="Y941" s="131" t="str">
        <f>+Plant_Information!$B$11</f>
        <v>2100 CENTRAL FURNACE ROAD</v>
      </c>
      <c r="Z941" s="131" t="str">
        <f>+Plant_Information!$B$12</f>
        <v>CLEVELAND, OH, 44115</v>
      </c>
      <c r="AA941" s="131" t="str">
        <f>+Plant_Information!$B$13</f>
        <v>12</v>
      </c>
      <c r="AB941" s="131" t="str">
        <f>+Plant_Information!$B$14</f>
        <v>CUY</v>
      </c>
      <c r="AC941" s="70"/>
    </row>
    <row r="942" spans="17:29" x14ac:dyDescent="0.2">
      <c r="Q942" t="str">
        <f>Plant_Information!$B$6</f>
        <v>(INSERT VENDOR NAME HERE)</v>
      </c>
      <c r="R942" t="str">
        <f>'HAULING RATES- ODOT Locations'!$A$124</f>
        <v>District 7</v>
      </c>
      <c r="S942" t="str">
        <f>'HAULING RATES- ODOT Locations'!A129</f>
        <v>Champaign</v>
      </c>
      <c r="T942" t="str">
        <f>'HAULING RATES- ODOT Locations'!B129</f>
        <v>2030 N. State Route 235, St. Paris, OH 43084</v>
      </c>
      <c r="U942" t="str">
        <f>'HAULING RATES- ODOT Locations'!G$8</f>
        <v>Dump Rock</v>
      </c>
      <c r="V942" s="146">
        <f>'HAULING RATES- ODOT Locations'!G129</f>
        <v>0</v>
      </c>
      <c r="W942" s="131" t="str">
        <f>+'Aggregate, Plant Pick-up'!$C$6</f>
        <v>LAFARGE-MARBLEHEAD "OSBORNE-CLEVELAND"</v>
      </c>
      <c r="X942" s="131" t="str">
        <f>+Plant_Information!$B$10</f>
        <v>04105-28</v>
      </c>
      <c r="Y942" s="131" t="str">
        <f>+Plant_Information!$B$11</f>
        <v>2100 CENTRAL FURNACE ROAD</v>
      </c>
      <c r="Z942" s="131" t="str">
        <f>+Plant_Information!$B$12</f>
        <v>CLEVELAND, OH, 44115</v>
      </c>
      <c r="AA942" s="131" t="str">
        <f>+Plant_Information!$B$13</f>
        <v>12</v>
      </c>
      <c r="AB942" s="131" t="str">
        <f>+Plant_Information!$B$14</f>
        <v>CUY</v>
      </c>
      <c r="AC942" s="70"/>
    </row>
    <row r="943" spans="17:29" x14ac:dyDescent="0.2">
      <c r="Q943" t="str">
        <f>Plant_Information!$B$6</f>
        <v>(INSERT VENDOR NAME HERE)</v>
      </c>
      <c r="R943" t="str">
        <f>'HAULING RATES- ODOT Locations'!$A$124</f>
        <v>District 7</v>
      </c>
      <c r="S943" t="str">
        <f>'HAULING RATES- ODOT Locations'!A130</f>
        <v>Champaign</v>
      </c>
      <c r="T943" t="str">
        <f>'HAULING RATES- ODOT Locations'!B130</f>
        <v>217 S. Edgewood Ave., Urbana, OH 43078</v>
      </c>
      <c r="U943" t="str">
        <f>'HAULING RATES- ODOT Locations'!G$8</f>
        <v>Dump Rock</v>
      </c>
      <c r="V943" s="146">
        <f>'HAULING RATES- ODOT Locations'!G130</f>
        <v>0</v>
      </c>
      <c r="W943" s="131" t="str">
        <f>+'Aggregate, Plant Pick-up'!$C$6</f>
        <v>LAFARGE-MARBLEHEAD "OSBORNE-CLEVELAND"</v>
      </c>
      <c r="X943" s="131" t="str">
        <f>+Plant_Information!$B$10</f>
        <v>04105-28</v>
      </c>
      <c r="Y943" s="131" t="str">
        <f>+Plant_Information!$B$11</f>
        <v>2100 CENTRAL FURNACE ROAD</v>
      </c>
      <c r="Z943" s="131" t="str">
        <f>+Plant_Information!$B$12</f>
        <v>CLEVELAND, OH, 44115</v>
      </c>
      <c r="AA943" s="131" t="str">
        <f>+Plant_Information!$B$13</f>
        <v>12</v>
      </c>
      <c r="AB943" s="131" t="str">
        <f>+Plant_Information!$B$14</f>
        <v>CUY</v>
      </c>
      <c r="AC943" s="70"/>
    </row>
    <row r="944" spans="17:29" x14ac:dyDescent="0.2">
      <c r="Q944" t="str">
        <f>Plant_Information!$B$6</f>
        <v>(INSERT VENDOR NAME HERE)</v>
      </c>
      <c r="R944" t="str">
        <f>'HAULING RATES- ODOT Locations'!$A$124</f>
        <v>District 7</v>
      </c>
      <c r="S944" t="str">
        <f>'HAULING RATES- ODOT Locations'!A131</f>
        <v>Champaign</v>
      </c>
      <c r="T944" t="str">
        <f>'HAULING RATES- ODOT Locations'!B131</f>
        <v>Mechanicsburg OP,1544 State Route 559, Woodstock, OH 43084</v>
      </c>
      <c r="U944" t="str">
        <f>'HAULING RATES- ODOT Locations'!G$8</f>
        <v>Dump Rock</v>
      </c>
      <c r="V944" s="146">
        <f>'HAULING RATES- ODOT Locations'!G131</f>
        <v>0</v>
      </c>
      <c r="W944" s="131" t="str">
        <f>+'Aggregate, Plant Pick-up'!$C$6</f>
        <v>LAFARGE-MARBLEHEAD "OSBORNE-CLEVELAND"</v>
      </c>
      <c r="X944" s="131" t="str">
        <f>+Plant_Information!$B$10</f>
        <v>04105-28</v>
      </c>
      <c r="Y944" s="131" t="str">
        <f>+Plant_Information!$B$11</f>
        <v>2100 CENTRAL FURNACE ROAD</v>
      </c>
      <c r="Z944" s="131" t="str">
        <f>+Plant_Information!$B$12</f>
        <v>CLEVELAND, OH, 44115</v>
      </c>
      <c r="AA944" s="131" t="str">
        <f>+Plant_Information!$B$13</f>
        <v>12</v>
      </c>
      <c r="AB944" s="131" t="str">
        <f>+Plant_Information!$B$14</f>
        <v>CUY</v>
      </c>
      <c r="AC944" s="70"/>
    </row>
    <row r="945" spans="17:29" x14ac:dyDescent="0.2">
      <c r="Q945" t="str">
        <f>Plant_Information!$B$6</f>
        <v>(INSERT VENDOR NAME HERE)</v>
      </c>
      <c r="R945" t="str">
        <f>'HAULING RATES- ODOT Locations'!$A$124</f>
        <v>District 7</v>
      </c>
      <c r="S945" t="str">
        <f>'HAULING RATES- ODOT Locations'!A132</f>
        <v>Clark</v>
      </c>
      <c r="T945" t="str">
        <f>'HAULING RATES- ODOT Locations'!B132</f>
        <v>2310 Enon Road, Enon, OH 45323</v>
      </c>
      <c r="U945" t="str">
        <f>'HAULING RATES- ODOT Locations'!G$8</f>
        <v>Dump Rock</v>
      </c>
      <c r="V945" s="146">
        <f>'HAULING RATES- ODOT Locations'!G132</f>
        <v>0</v>
      </c>
      <c r="W945" s="131" t="str">
        <f>+'Aggregate, Plant Pick-up'!$C$6</f>
        <v>LAFARGE-MARBLEHEAD "OSBORNE-CLEVELAND"</v>
      </c>
      <c r="X945" s="131" t="str">
        <f>+Plant_Information!$B$10</f>
        <v>04105-28</v>
      </c>
      <c r="Y945" s="131" t="str">
        <f>+Plant_Information!$B$11</f>
        <v>2100 CENTRAL FURNACE ROAD</v>
      </c>
      <c r="Z945" s="131" t="str">
        <f>+Plant_Information!$B$12</f>
        <v>CLEVELAND, OH, 44115</v>
      </c>
      <c r="AA945" s="131" t="str">
        <f>+Plant_Information!$B$13</f>
        <v>12</v>
      </c>
      <c r="AB945" s="131" t="str">
        <f>+Plant_Information!$B$14</f>
        <v>CUY</v>
      </c>
      <c r="AC945" s="70"/>
    </row>
    <row r="946" spans="17:29" x14ac:dyDescent="0.2">
      <c r="Q946" t="str">
        <f>Plant_Information!$B$6</f>
        <v>(INSERT VENDOR NAME HERE)</v>
      </c>
      <c r="R946" t="str">
        <f>'HAULING RATES- ODOT Locations'!$A$124</f>
        <v>District 7</v>
      </c>
      <c r="S946" t="str">
        <f>'HAULING RATES- ODOT Locations'!A133</f>
        <v>Clark</v>
      </c>
      <c r="T946" t="str">
        <f>'HAULING RATES- ODOT Locations'!B133</f>
        <v>7875 E. National Rd. South Charleston, OH 45368</v>
      </c>
      <c r="U946" t="str">
        <f>'HAULING RATES- ODOT Locations'!G$8</f>
        <v>Dump Rock</v>
      </c>
      <c r="V946" s="146">
        <f>'HAULING RATES- ODOT Locations'!G133</f>
        <v>0</v>
      </c>
      <c r="W946" s="131" t="str">
        <f>+'Aggregate, Plant Pick-up'!$C$6</f>
        <v>LAFARGE-MARBLEHEAD "OSBORNE-CLEVELAND"</v>
      </c>
      <c r="X946" s="131" t="str">
        <f>+Plant_Information!$B$10</f>
        <v>04105-28</v>
      </c>
      <c r="Y946" s="131" t="str">
        <f>+Plant_Information!$B$11</f>
        <v>2100 CENTRAL FURNACE ROAD</v>
      </c>
      <c r="Z946" s="131" t="str">
        <f>+Plant_Information!$B$12</f>
        <v>CLEVELAND, OH, 44115</v>
      </c>
      <c r="AA946" s="131" t="str">
        <f>+Plant_Information!$B$13</f>
        <v>12</v>
      </c>
      <c r="AB946" s="131" t="str">
        <f>+Plant_Information!$B$14</f>
        <v>CUY</v>
      </c>
      <c r="AC946" s="70"/>
    </row>
    <row r="947" spans="17:29" x14ac:dyDescent="0.2">
      <c r="Q947" t="str">
        <f>Plant_Information!$B$6</f>
        <v>(INSERT VENDOR NAME HERE)</v>
      </c>
      <c r="R947" t="str">
        <f>'HAULING RATES- ODOT Locations'!$A$124</f>
        <v>District 7</v>
      </c>
      <c r="S947" t="str">
        <f>'HAULING RATES- ODOT Locations'!A134</f>
        <v>Clark</v>
      </c>
      <c r="T947" t="str">
        <f>'HAULING RATES- ODOT Locations'!B134</f>
        <v>1630 W. First Street, Springfield, OH 45504</v>
      </c>
      <c r="U947" t="str">
        <f>'HAULING RATES- ODOT Locations'!G$8</f>
        <v>Dump Rock</v>
      </c>
      <c r="V947" s="146">
        <f>'HAULING RATES- ODOT Locations'!G134</f>
        <v>0</v>
      </c>
      <c r="W947" s="131" t="str">
        <f>+'Aggregate, Plant Pick-up'!$C$6</f>
        <v>LAFARGE-MARBLEHEAD "OSBORNE-CLEVELAND"</v>
      </c>
      <c r="X947" s="131" t="str">
        <f>+Plant_Information!$B$10</f>
        <v>04105-28</v>
      </c>
      <c r="Y947" s="131" t="str">
        <f>+Plant_Information!$B$11</f>
        <v>2100 CENTRAL FURNACE ROAD</v>
      </c>
      <c r="Z947" s="131" t="str">
        <f>+Plant_Information!$B$12</f>
        <v>CLEVELAND, OH, 44115</v>
      </c>
      <c r="AA947" s="131" t="str">
        <f>+Plant_Information!$B$13</f>
        <v>12</v>
      </c>
      <c r="AB947" s="131" t="str">
        <f>+Plant_Information!$B$14</f>
        <v>CUY</v>
      </c>
      <c r="AC947" s="70"/>
    </row>
    <row r="948" spans="17:29" x14ac:dyDescent="0.2">
      <c r="Q948" t="str">
        <f>Plant_Information!$B$6</f>
        <v>(INSERT VENDOR NAME HERE)</v>
      </c>
      <c r="R948" t="str">
        <f>'HAULING RATES- ODOT Locations'!$A$124</f>
        <v>District 7</v>
      </c>
      <c r="S948" t="str">
        <f>'HAULING RATES- ODOT Locations'!A135</f>
        <v>Darke</v>
      </c>
      <c r="T948" t="str">
        <f>'HAULING RATES- ODOT Locations'!B135</f>
        <v>5230 Industrial Way, Greenville, OH 45331</v>
      </c>
      <c r="U948" t="str">
        <f>'HAULING RATES- ODOT Locations'!G$8</f>
        <v>Dump Rock</v>
      </c>
      <c r="V948" s="146">
        <f>'HAULING RATES- ODOT Locations'!G135</f>
        <v>0</v>
      </c>
      <c r="W948" s="131" t="str">
        <f>+'Aggregate, Plant Pick-up'!$C$6</f>
        <v>LAFARGE-MARBLEHEAD "OSBORNE-CLEVELAND"</v>
      </c>
      <c r="X948" s="131" t="str">
        <f>+Plant_Information!$B$10</f>
        <v>04105-28</v>
      </c>
      <c r="Y948" s="131" t="str">
        <f>+Plant_Information!$B$11</f>
        <v>2100 CENTRAL FURNACE ROAD</v>
      </c>
      <c r="Z948" s="131" t="str">
        <f>+Plant_Information!$B$12</f>
        <v>CLEVELAND, OH, 44115</v>
      </c>
      <c r="AA948" s="131" t="str">
        <f>+Plant_Information!$B$13</f>
        <v>12</v>
      </c>
      <c r="AB948" s="131" t="str">
        <f>+Plant_Information!$B$14</f>
        <v>CUY</v>
      </c>
      <c r="AC948" s="70"/>
    </row>
    <row r="949" spans="17:29" x14ac:dyDescent="0.2">
      <c r="Q949" t="str">
        <f>Plant_Information!$B$6</f>
        <v>(INSERT VENDOR NAME HERE)</v>
      </c>
      <c r="R949" t="str">
        <f>'HAULING RATES- ODOT Locations'!$A$124</f>
        <v>District 7</v>
      </c>
      <c r="S949" t="str">
        <f>'HAULING RATES- ODOT Locations'!A136</f>
        <v>Darke</v>
      </c>
      <c r="T949" t="str">
        <f>'HAULING RATES- ODOT Locations'!B136</f>
        <v>10382 Greenville - St Marys, Versailles, OH 45380</v>
      </c>
      <c r="U949" t="str">
        <f>'HAULING RATES- ODOT Locations'!G$8</f>
        <v>Dump Rock</v>
      </c>
      <c r="V949" s="146">
        <f>'HAULING RATES- ODOT Locations'!G136</f>
        <v>0</v>
      </c>
      <c r="W949" s="131" t="str">
        <f>+'Aggregate, Plant Pick-up'!$C$6</f>
        <v>LAFARGE-MARBLEHEAD "OSBORNE-CLEVELAND"</v>
      </c>
      <c r="X949" s="131" t="str">
        <f>+Plant_Information!$B$10</f>
        <v>04105-28</v>
      </c>
      <c r="Y949" s="131" t="str">
        <f>+Plant_Information!$B$11</f>
        <v>2100 CENTRAL FURNACE ROAD</v>
      </c>
      <c r="Z949" s="131" t="str">
        <f>+Plant_Information!$B$12</f>
        <v>CLEVELAND, OH, 44115</v>
      </c>
      <c r="AA949" s="131" t="str">
        <f>+Plant_Information!$B$13</f>
        <v>12</v>
      </c>
      <c r="AB949" s="131" t="str">
        <f>+Plant_Information!$B$14</f>
        <v>CUY</v>
      </c>
      <c r="AC949" s="70"/>
    </row>
    <row r="950" spans="17:29" x14ac:dyDescent="0.2">
      <c r="Q950" t="str">
        <f>Plant_Information!$B$6</f>
        <v>(INSERT VENDOR NAME HERE)</v>
      </c>
      <c r="R950" t="str">
        <f>'HAULING RATES- ODOT Locations'!$A$124</f>
        <v>District 7</v>
      </c>
      <c r="S950" t="str">
        <f>'HAULING RATES- ODOT Locations'!A137</f>
        <v>Logan</v>
      </c>
      <c r="T950" t="str">
        <f>'HAULING RATES- ODOT Locations'!B137</f>
        <v>9254 State Route 235 North, Lakeview, OH 43331</v>
      </c>
      <c r="U950" t="str">
        <f>'HAULING RATES- ODOT Locations'!G$8</f>
        <v>Dump Rock</v>
      </c>
      <c r="V950" s="146">
        <f>'HAULING RATES- ODOT Locations'!G137</f>
        <v>0</v>
      </c>
      <c r="W950" s="131" t="str">
        <f>+'Aggregate, Plant Pick-up'!$C$6</f>
        <v>LAFARGE-MARBLEHEAD "OSBORNE-CLEVELAND"</v>
      </c>
      <c r="X950" s="131" t="str">
        <f>+Plant_Information!$B$10</f>
        <v>04105-28</v>
      </c>
      <c r="Y950" s="131" t="str">
        <f>+Plant_Information!$B$11</f>
        <v>2100 CENTRAL FURNACE ROAD</v>
      </c>
      <c r="Z950" s="131" t="str">
        <f>+Plant_Information!$B$12</f>
        <v>CLEVELAND, OH, 44115</v>
      </c>
      <c r="AA950" s="131" t="str">
        <f>+Plant_Information!$B$13</f>
        <v>12</v>
      </c>
      <c r="AB950" s="131" t="str">
        <f>+Plant_Information!$B$14</f>
        <v>CUY</v>
      </c>
      <c r="AC950" s="70"/>
    </row>
    <row r="951" spans="17:29" x14ac:dyDescent="0.2">
      <c r="Q951" t="str">
        <f>Plant_Information!$B$6</f>
        <v>(INSERT VENDOR NAME HERE)</v>
      </c>
      <c r="R951" t="str">
        <f>'HAULING RATES- ODOT Locations'!$A$124</f>
        <v>District 7</v>
      </c>
      <c r="S951" t="str">
        <f>'HAULING RATES- ODOT Locations'!A138</f>
        <v>Logan</v>
      </c>
      <c r="T951" t="str">
        <f>'HAULING RATES- ODOT Locations'!B138</f>
        <v>E. Liberty OP, 4315 State Route 292, Zanesfield, OH 43319</v>
      </c>
      <c r="U951" t="str">
        <f>'HAULING RATES- ODOT Locations'!G$8</f>
        <v>Dump Rock</v>
      </c>
      <c r="V951" s="146">
        <f>'HAULING RATES- ODOT Locations'!G138</f>
        <v>0</v>
      </c>
      <c r="W951" s="131" t="str">
        <f>+'Aggregate, Plant Pick-up'!$C$6</f>
        <v>LAFARGE-MARBLEHEAD "OSBORNE-CLEVELAND"</v>
      </c>
      <c r="X951" s="131" t="str">
        <f>+Plant_Information!$B$10</f>
        <v>04105-28</v>
      </c>
      <c r="Y951" s="131" t="str">
        <f>+Plant_Information!$B$11</f>
        <v>2100 CENTRAL FURNACE ROAD</v>
      </c>
      <c r="Z951" s="131" t="str">
        <f>+Plant_Information!$B$12</f>
        <v>CLEVELAND, OH, 44115</v>
      </c>
      <c r="AA951" s="131" t="str">
        <f>+Plant_Information!$B$13</f>
        <v>12</v>
      </c>
      <c r="AB951" s="131" t="str">
        <f>+Plant_Information!$B$14</f>
        <v>CUY</v>
      </c>
      <c r="AC951" s="70"/>
    </row>
    <row r="952" spans="17:29" x14ac:dyDescent="0.2">
      <c r="Q952" t="str">
        <f>Plant_Information!$B$6</f>
        <v>(INSERT VENDOR NAME HERE)</v>
      </c>
      <c r="R952" t="str">
        <f>'HAULING RATES- ODOT Locations'!$A$124</f>
        <v>District 7</v>
      </c>
      <c r="S952" t="str">
        <f>'HAULING RATES- ODOT Locations'!A139</f>
        <v>Logan</v>
      </c>
      <c r="T952" t="str">
        <f>'HAULING RATES- ODOT Locations'!B139</f>
        <v>149 Northview Drive, Bellefontaine, OH 43311</v>
      </c>
      <c r="U952" t="str">
        <f>'HAULING RATES- ODOT Locations'!G$8</f>
        <v>Dump Rock</v>
      </c>
      <c r="V952" s="146">
        <f>'HAULING RATES- ODOT Locations'!G139</f>
        <v>0</v>
      </c>
      <c r="W952" s="131" t="str">
        <f>+'Aggregate, Plant Pick-up'!$C$6</f>
        <v>LAFARGE-MARBLEHEAD "OSBORNE-CLEVELAND"</v>
      </c>
      <c r="X952" s="131" t="str">
        <f>+Plant_Information!$B$10</f>
        <v>04105-28</v>
      </c>
      <c r="Y952" s="131" t="str">
        <f>+Plant_Information!$B$11</f>
        <v>2100 CENTRAL FURNACE ROAD</v>
      </c>
      <c r="Z952" s="131" t="str">
        <f>+Plant_Information!$B$12</f>
        <v>CLEVELAND, OH, 44115</v>
      </c>
      <c r="AA952" s="131" t="str">
        <f>+Plant_Information!$B$13</f>
        <v>12</v>
      </c>
      <c r="AB952" s="131" t="str">
        <f>+Plant_Information!$B$14</f>
        <v>CUY</v>
      </c>
      <c r="AC952" s="70"/>
    </row>
    <row r="953" spans="17:29" x14ac:dyDescent="0.2">
      <c r="Q953" t="str">
        <f>Plant_Information!$B$6</f>
        <v>(INSERT VENDOR NAME HERE)</v>
      </c>
      <c r="R953" t="str">
        <f>'HAULING RATES- ODOT Locations'!$A$124</f>
        <v>District 7</v>
      </c>
      <c r="S953" t="str">
        <f>'HAULING RATES- ODOT Locations'!A140</f>
        <v>Mercer</v>
      </c>
      <c r="T953" t="str">
        <f>'HAULING RATES- ODOT Locations'!B140</f>
        <v>4444 State Route 29 West, Celina, OH 45822</v>
      </c>
      <c r="U953" t="str">
        <f>'HAULING RATES- ODOT Locations'!G$8</f>
        <v>Dump Rock</v>
      </c>
      <c r="V953" s="146">
        <f>'HAULING RATES- ODOT Locations'!G140</f>
        <v>0</v>
      </c>
      <c r="W953" s="131" t="str">
        <f>+'Aggregate, Plant Pick-up'!$C$6</f>
        <v>LAFARGE-MARBLEHEAD "OSBORNE-CLEVELAND"</v>
      </c>
      <c r="X953" s="131" t="str">
        <f>+Plant_Information!$B$10</f>
        <v>04105-28</v>
      </c>
      <c r="Y953" s="131" t="str">
        <f>+Plant_Information!$B$11</f>
        <v>2100 CENTRAL FURNACE ROAD</v>
      </c>
      <c r="Z953" s="131" t="str">
        <f>+Plant_Information!$B$12</f>
        <v>CLEVELAND, OH, 44115</v>
      </c>
      <c r="AA953" s="131" t="str">
        <f>+Plant_Information!$B$13</f>
        <v>12</v>
      </c>
      <c r="AB953" s="131" t="str">
        <f>+Plant_Information!$B$14</f>
        <v>CUY</v>
      </c>
      <c r="AC953" s="70"/>
    </row>
    <row r="954" spans="17:29" x14ac:dyDescent="0.2">
      <c r="Q954" t="str">
        <f>Plant_Information!$B$6</f>
        <v>(INSERT VENDOR NAME HERE)</v>
      </c>
      <c r="R954" t="str">
        <f>'HAULING RATES- ODOT Locations'!$A$124</f>
        <v>District 7</v>
      </c>
      <c r="S954" t="str">
        <f>'HAULING RATES- ODOT Locations'!A141</f>
        <v>Mercer</v>
      </c>
      <c r="T954" t="str">
        <f>'HAULING RATES- ODOT Locations'!B141</f>
        <v>Mercer OP, 5729 Mercer Road, Mendon, OH 45862</v>
      </c>
      <c r="U954" t="str">
        <f>'HAULING RATES- ODOT Locations'!G$8</f>
        <v>Dump Rock</v>
      </c>
      <c r="V954" s="146">
        <f>'HAULING RATES- ODOT Locations'!G141</f>
        <v>0</v>
      </c>
      <c r="W954" s="131" t="str">
        <f>+'Aggregate, Plant Pick-up'!$C$6</f>
        <v>LAFARGE-MARBLEHEAD "OSBORNE-CLEVELAND"</v>
      </c>
      <c r="X954" s="131" t="str">
        <f>+Plant_Information!$B$10</f>
        <v>04105-28</v>
      </c>
      <c r="Y954" s="131" t="str">
        <f>+Plant_Information!$B$11</f>
        <v>2100 CENTRAL FURNACE ROAD</v>
      </c>
      <c r="Z954" s="131" t="str">
        <f>+Plant_Information!$B$12</f>
        <v>CLEVELAND, OH, 44115</v>
      </c>
      <c r="AA954" s="131" t="str">
        <f>+Plant_Information!$B$13</f>
        <v>12</v>
      </c>
      <c r="AB954" s="131" t="str">
        <f>+Plant_Information!$B$14</f>
        <v>CUY</v>
      </c>
      <c r="AC954" s="70"/>
    </row>
    <row r="955" spans="17:29" x14ac:dyDescent="0.2">
      <c r="Q955" t="str">
        <f>Plant_Information!$B$6</f>
        <v>(INSERT VENDOR NAME HERE)</v>
      </c>
      <c r="R955" t="str">
        <f>'HAULING RATES- ODOT Locations'!$A$124</f>
        <v>District 7</v>
      </c>
      <c r="S955" t="str">
        <f>'HAULING RATES- ODOT Locations'!A142</f>
        <v>Mercer</v>
      </c>
      <c r="T955" t="str">
        <f>'HAULING RATES- ODOT Locations'!B142</f>
        <v>Cassella OP, 5882 State Route 119, St. Henry, OH 45883</v>
      </c>
      <c r="U955" t="str">
        <f>'HAULING RATES- ODOT Locations'!G$8</f>
        <v>Dump Rock</v>
      </c>
      <c r="V955" s="146">
        <f>'HAULING RATES- ODOT Locations'!G142</f>
        <v>0</v>
      </c>
      <c r="W955" s="131" t="str">
        <f>+'Aggregate, Plant Pick-up'!$C$6</f>
        <v>LAFARGE-MARBLEHEAD "OSBORNE-CLEVELAND"</v>
      </c>
      <c r="X955" s="131" t="str">
        <f>+Plant_Information!$B$10</f>
        <v>04105-28</v>
      </c>
      <c r="Y955" s="131" t="str">
        <f>+Plant_Information!$B$11</f>
        <v>2100 CENTRAL FURNACE ROAD</v>
      </c>
      <c r="Z955" s="131" t="str">
        <f>+Plant_Information!$B$12</f>
        <v>CLEVELAND, OH, 44115</v>
      </c>
      <c r="AA955" s="131" t="str">
        <f>+Plant_Information!$B$13</f>
        <v>12</v>
      </c>
      <c r="AB955" s="131" t="str">
        <f>+Plant_Information!$B$14</f>
        <v>CUY</v>
      </c>
      <c r="AC955" s="70"/>
    </row>
    <row r="956" spans="17:29" x14ac:dyDescent="0.2">
      <c r="Q956" t="str">
        <f>Plant_Information!$B$6</f>
        <v>(INSERT VENDOR NAME HERE)</v>
      </c>
      <c r="R956" t="str">
        <f>'HAULING RATES- ODOT Locations'!$A$124</f>
        <v>District 7</v>
      </c>
      <c r="S956" t="str">
        <f>'HAULING RATES- ODOT Locations'!A143</f>
        <v>Miami</v>
      </c>
      <c r="T956" t="str">
        <f>'HAULING RATES- ODOT Locations'!B143</f>
        <v>2423 W. State Route 55, Troy, OH 45373</v>
      </c>
      <c r="U956" t="str">
        <f>'HAULING RATES- ODOT Locations'!G$8</f>
        <v>Dump Rock</v>
      </c>
      <c r="V956" s="146">
        <f>'HAULING RATES- ODOT Locations'!G143</f>
        <v>0</v>
      </c>
      <c r="W956" s="131" t="str">
        <f>+'Aggregate, Plant Pick-up'!$C$6</f>
        <v>LAFARGE-MARBLEHEAD "OSBORNE-CLEVELAND"</v>
      </c>
      <c r="X956" s="131" t="str">
        <f>+Plant_Information!$B$10</f>
        <v>04105-28</v>
      </c>
      <c r="Y956" s="131" t="str">
        <f>+Plant_Information!$B$11</f>
        <v>2100 CENTRAL FURNACE ROAD</v>
      </c>
      <c r="Z956" s="131" t="str">
        <f>+Plant_Information!$B$12</f>
        <v>CLEVELAND, OH, 44115</v>
      </c>
      <c r="AA956" s="131" t="str">
        <f>+Plant_Information!$B$13</f>
        <v>12</v>
      </c>
      <c r="AB956" s="131" t="str">
        <f>+Plant_Information!$B$14</f>
        <v>CUY</v>
      </c>
      <c r="AC956" s="70"/>
    </row>
    <row r="957" spans="17:29" x14ac:dyDescent="0.2">
      <c r="Q957" t="str">
        <f>Plant_Information!$B$6</f>
        <v>(INSERT VENDOR NAME HERE)</v>
      </c>
      <c r="R957" t="str">
        <f>'HAULING RATES- ODOT Locations'!$A$124</f>
        <v>District 7</v>
      </c>
      <c r="S957" t="str">
        <f>'HAULING RATES- ODOT Locations'!A144</f>
        <v>Miami</v>
      </c>
      <c r="T957" t="str">
        <f>'HAULING RATES- ODOT Locations'!B144</f>
        <v>9015 Looney Road, Piqua, OH 45356</v>
      </c>
      <c r="U957" t="str">
        <f>'HAULING RATES- ODOT Locations'!G$8</f>
        <v>Dump Rock</v>
      </c>
      <c r="V957" s="146">
        <f>'HAULING RATES- ODOT Locations'!G144</f>
        <v>0</v>
      </c>
      <c r="W957" s="131" t="str">
        <f>+'Aggregate, Plant Pick-up'!$C$6</f>
        <v>LAFARGE-MARBLEHEAD "OSBORNE-CLEVELAND"</v>
      </c>
      <c r="X957" s="131" t="str">
        <f>+Plant_Information!$B$10</f>
        <v>04105-28</v>
      </c>
      <c r="Y957" s="131" t="str">
        <f>+Plant_Information!$B$11</f>
        <v>2100 CENTRAL FURNACE ROAD</v>
      </c>
      <c r="Z957" s="131" t="str">
        <f>+Plant_Information!$B$12</f>
        <v>CLEVELAND, OH, 44115</v>
      </c>
      <c r="AA957" s="131" t="str">
        <f>+Plant_Information!$B$13</f>
        <v>12</v>
      </c>
      <c r="AB957" s="131" t="str">
        <f>+Plant_Information!$B$14</f>
        <v>CUY</v>
      </c>
      <c r="AC957" s="70"/>
    </row>
    <row r="958" spans="17:29" x14ac:dyDescent="0.2">
      <c r="Q958" t="str">
        <f>Plant_Information!$B$6</f>
        <v>(INSERT VENDOR NAME HERE)</v>
      </c>
      <c r="R958" t="str">
        <f>'HAULING RATES- ODOT Locations'!$A$124</f>
        <v>District 7</v>
      </c>
      <c r="S958" t="str">
        <f>'HAULING RATES- ODOT Locations'!A145</f>
        <v>Montgomery</v>
      </c>
      <c r="T958" t="str">
        <f>'HAULING RATES- ODOT Locations'!B145</f>
        <v>300 Smith Drive, Clayton, OH 45315</v>
      </c>
      <c r="U958" t="str">
        <f>'HAULING RATES- ODOT Locations'!G$8</f>
        <v>Dump Rock</v>
      </c>
      <c r="V958" s="146">
        <f>'HAULING RATES- ODOT Locations'!G145</f>
        <v>0</v>
      </c>
      <c r="W958" s="131" t="str">
        <f>+'Aggregate, Plant Pick-up'!$C$6</f>
        <v>LAFARGE-MARBLEHEAD "OSBORNE-CLEVELAND"</v>
      </c>
      <c r="X958" s="131" t="str">
        <f>+Plant_Information!$B$10</f>
        <v>04105-28</v>
      </c>
      <c r="Y958" s="131" t="str">
        <f>+Plant_Information!$B$11</f>
        <v>2100 CENTRAL FURNACE ROAD</v>
      </c>
      <c r="Z958" s="131" t="str">
        <f>+Plant_Information!$B$12</f>
        <v>CLEVELAND, OH, 44115</v>
      </c>
      <c r="AA958" s="131" t="str">
        <f>+Plant_Information!$B$13</f>
        <v>12</v>
      </c>
      <c r="AB958" s="131" t="str">
        <f>+Plant_Information!$B$14</f>
        <v>CUY</v>
      </c>
      <c r="AC958" s="70"/>
    </row>
    <row r="959" spans="17:29" x14ac:dyDescent="0.2">
      <c r="Q959" t="str">
        <f>Plant_Information!$B$6</f>
        <v>(INSERT VENDOR NAME HERE)</v>
      </c>
      <c r="R959" t="str">
        <f>'HAULING RATES- ODOT Locations'!$A$124</f>
        <v>District 7</v>
      </c>
      <c r="S959" t="str">
        <f>'HAULING RATES- ODOT Locations'!A146</f>
        <v>Montgomery</v>
      </c>
      <c r="T959" t="str">
        <f>'HAULING RATES- ODOT Locations'!B146</f>
        <v>3500 Dryden Road, Moraine, OH 45439</v>
      </c>
      <c r="U959" t="str">
        <f>'HAULING RATES- ODOT Locations'!G$8</f>
        <v>Dump Rock</v>
      </c>
      <c r="V959" s="146">
        <f>'HAULING RATES- ODOT Locations'!G146</f>
        <v>0</v>
      </c>
      <c r="W959" s="131" t="str">
        <f>+'Aggregate, Plant Pick-up'!$C$6</f>
        <v>LAFARGE-MARBLEHEAD "OSBORNE-CLEVELAND"</v>
      </c>
      <c r="X959" s="131" t="str">
        <f>+Plant_Information!$B$10</f>
        <v>04105-28</v>
      </c>
      <c r="Y959" s="131" t="str">
        <f>+Plant_Information!$B$11</f>
        <v>2100 CENTRAL FURNACE ROAD</v>
      </c>
      <c r="Z959" s="131" t="str">
        <f>+Plant_Information!$B$12</f>
        <v>CLEVELAND, OH, 44115</v>
      </c>
      <c r="AA959" s="131" t="str">
        <f>+Plant_Information!$B$13</f>
        <v>12</v>
      </c>
      <c r="AB959" s="131" t="str">
        <f>+Plant_Information!$B$14</f>
        <v>CUY</v>
      </c>
      <c r="AC959" s="70"/>
    </row>
    <row r="960" spans="17:29" x14ac:dyDescent="0.2">
      <c r="Q960" t="str">
        <f>Plant_Information!$B$6</f>
        <v>(INSERT VENDOR NAME HERE)</v>
      </c>
      <c r="R960" t="str">
        <f>'HAULING RATES- ODOT Locations'!$A$124</f>
        <v>District 7</v>
      </c>
      <c r="S960" t="str">
        <f>'HAULING RATES- ODOT Locations'!A147</f>
        <v>Montgomery</v>
      </c>
      <c r="T960" t="str">
        <f>'HAULING RATES- ODOT Locations'!B147</f>
        <v>7130 Shull Road, Huber Heights, OH 45424</v>
      </c>
      <c r="U960" t="str">
        <f>'HAULING RATES- ODOT Locations'!G$8</f>
        <v>Dump Rock</v>
      </c>
      <c r="V960" s="146">
        <f>'HAULING RATES- ODOT Locations'!G147</f>
        <v>0</v>
      </c>
      <c r="W960" s="131" t="str">
        <f>+'Aggregate, Plant Pick-up'!$C$6</f>
        <v>LAFARGE-MARBLEHEAD "OSBORNE-CLEVELAND"</v>
      </c>
      <c r="X960" s="131" t="str">
        <f>+Plant_Information!$B$10</f>
        <v>04105-28</v>
      </c>
      <c r="Y960" s="131" t="str">
        <f>+Plant_Information!$B$11</f>
        <v>2100 CENTRAL FURNACE ROAD</v>
      </c>
      <c r="Z960" s="131" t="str">
        <f>+Plant_Information!$B$12</f>
        <v>CLEVELAND, OH, 44115</v>
      </c>
      <c r="AA960" s="131" t="str">
        <f>+Plant_Information!$B$13</f>
        <v>12</v>
      </c>
      <c r="AB960" s="131" t="str">
        <f>+Plant_Information!$B$14</f>
        <v>CUY</v>
      </c>
      <c r="AC960" s="70"/>
    </row>
    <row r="961" spans="17:29" x14ac:dyDescent="0.2">
      <c r="Q961" t="str">
        <f>Plant_Information!$B$6</f>
        <v>(INSERT VENDOR NAME HERE)</v>
      </c>
      <c r="R961" t="str">
        <f>'HAULING RATES- ODOT Locations'!$A$124</f>
        <v>District 7</v>
      </c>
      <c r="S961" t="str">
        <f>'HAULING RATES- ODOT Locations'!A148</f>
        <v>Shelby</v>
      </c>
      <c r="T961" t="str">
        <f>'HAULING RATES- ODOT Locations'!B148</f>
        <v>2190 Saint Marys Avenue, Sidney, OH 45365</v>
      </c>
      <c r="U961" t="str">
        <f>'HAULING RATES- ODOT Locations'!G$8</f>
        <v>Dump Rock</v>
      </c>
      <c r="V961" s="146">
        <f>'HAULING RATES- ODOT Locations'!G148</f>
        <v>0</v>
      </c>
      <c r="W961" s="131" t="str">
        <f>+'Aggregate, Plant Pick-up'!$C$6</f>
        <v>LAFARGE-MARBLEHEAD "OSBORNE-CLEVELAND"</v>
      </c>
      <c r="X961" s="131" t="str">
        <f>+Plant_Information!$B$10</f>
        <v>04105-28</v>
      </c>
      <c r="Y961" s="131" t="str">
        <f>+Plant_Information!$B$11</f>
        <v>2100 CENTRAL FURNACE ROAD</v>
      </c>
      <c r="Z961" s="131" t="str">
        <f>+Plant_Information!$B$12</f>
        <v>CLEVELAND, OH, 44115</v>
      </c>
      <c r="AA961" s="131" t="str">
        <f>+Plant_Information!$B$13</f>
        <v>12</v>
      </c>
      <c r="AB961" s="131" t="str">
        <f>+Plant_Information!$B$14</f>
        <v>CUY</v>
      </c>
      <c r="AC961" s="70"/>
    </row>
    <row r="962" spans="17:29" x14ac:dyDescent="0.2">
      <c r="Q962" s="138" t="str">
        <f>Plant_Information!$B$6</f>
        <v>(INSERT VENDOR NAME HERE)</v>
      </c>
      <c r="R962" s="138" t="str">
        <f>'HAULING RATES- ODOT Locations'!$A$124</f>
        <v>District 7</v>
      </c>
      <c r="S962" s="138" t="str">
        <f>'HAULING RATES- ODOT Locations'!A149</f>
        <v>Shelby</v>
      </c>
      <c r="T962" s="138" t="str">
        <f>'HAULING RATES- ODOT Locations'!B149</f>
        <v>15825 County Road 25A, Botkins, OH 45306</v>
      </c>
      <c r="U962" s="138" t="str">
        <f>'HAULING RATES- ODOT Locations'!G$8</f>
        <v>Dump Rock</v>
      </c>
      <c r="V962" s="146">
        <f>'HAULING RATES- ODOT Locations'!G149</f>
        <v>0</v>
      </c>
      <c r="W962" s="141" t="str">
        <f>+'Aggregate, Plant Pick-up'!$C$6</f>
        <v>LAFARGE-MARBLEHEAD "OSBORNE-CLEVELAND"</v>
      </c>
      <c r="X962" s="141" t="str">
        <f>+Plant_Information!$B$10</f>
        <v>04105-28</v>
      </c>
      <c r="Y962" s="141" t="str">
        <f>+Plant_Information!$B$11</f>
        <v>2100 CENTRAL FURNACE ROAD</v>
      </c>
      <c r="Z962" s="141" t="str">
        <f>+Plant_Information!$B$12</f>
        <v>CLEVELAND, OH, 44115</v>
      </c>
      <c r="AA962" s="141" t="str">
        <f>+Plant_Information!$B$13</f>
        <v>12</v>
      </c>
      <c r="AB962" s="141" t="str">
        <f>+Plant_Information!$B$14</f>
        <v>CUY</v>
      </c>
      <c r="AC962" s="70"/>
    </row>
    <row r="963" spans="17:29" x14ac:dyDescent="0.2">
      <c r="Q963" t="str">
        <f>Plant_Information!$B$6</f>
        <v>(INSERT VENDOR NAME HERE)</v>
      </c>
      <c r="R963" t="str">
        <f>'HAULING RATES- ODOT Locations'!$A$124</f>
        <v>District 7</v>
      </c>
      <c r="S963" t="str">
        <f>'HAULING RATES- ODOT Locations'!A150</f>
        <v>Shelby</v>
      </c>
      <c r="T963" t="str">
        <f>'HAULING RATES- ODOT Locations'!B150</f>
        <v>Newport OP, 4339 W. State Route 47, Ft. Loramie, OH 45845</v>
      </c>
      <c r="U963" t="str">
        <f>'HAULING RATES- ODOT Locations'!G$8</f>
        <v>Dump Rock</v>
      </c>
      <c r="V963" s="146">
        <f>'HAULING RATES- ODOT Locations'!G150</f>
        <v>0</v>
      </c>
      <c r="W963" s="131" t="str">
        <f>+'Aggregate, Plant Pick-up'!$C$6</f>
        <v>LAFARGE-MARBLEHEAD "OSBORNE-CLEVELAND"</v>
      </c>
      <c r="X963" s="131" t="str">
        <f>+Plant_Information!$B$10</f>
        <v>04105-28</v>
      </c>
      <c r="Y963" s="131" t="str">
        <f>+Plant_Information!$B$11</f>
        <v>2100 CENTRAL FURNACE ROAD</v>
      </c>
      <c r="Z963" s="131" t="str">
        <f>+Plant_Information!$B$12</f>
        <v>CLEVELAND, OH, 44115</v>
      </c>
      <c r="AA963" s="131" t="str">
        <f>+Plant_Information!$B$13</f>
        <v>12</v>
      </c>
      <c r="AB963" s="131" t="str">
        <f>+Plant_Information!$B$14</f>
        <v>CUY</v>
      </c>
      <c r="AC963" s="70"/>
    </row>
    <row r="964" spans="17:29" x14ac:dyDescent="0.2">
      <c r="Q964" t="str">
        <f>Plant_Information!$B$6</f>
        <v>(INSERT VENDOR NAME HERE)</v>
      </c>
      <c r="R964" t="str">
        <f>'HAULING RATES- ODOT Locations'!$A$151</f>
        <v>District 8</v>
      </c>
      <c r="S964" t="str">
        <f>'HAULING RATES- ODOT Locations'!A154</f>
        <v>Butler</v>
      </c>
      <c r="T964" t="str">
        <f>'HAULING RATES- ODOT Locations'!B154</f>
        <v>4560 Kyles Station, Hamilton, OH 45011</v>
      </c>
      <c r="U964" t="str">
        <f>'HAULING RATES- ODOT Locations'!G$8</f>
        <v>Dump Rock</v>
      </c>
      <c r="V964" s="146">
        <f>'HAULING RATES- ODOT Locations'!G154</f>
        <v>0</v>
      </c>
      <c r="W964" s="131" t="str">
        <f>+'Aggregate, Plant Pick-up'!$C$6</f>
        <v>LAFARGE-MARBLEHEAD "OSBORNE-CLEVELAND"</v>
      </c>
      <c r="X964" s="131" t="str">
        <f>+Plant_Information!$B$10</f>
        <v>04105-28</v>
      </c>
      <c r="Y964" s="131" t="str">
        <f>+Plant_Information!$B$11</f>
        <v>2100 CENTRAL FURNACE ROAD</v>
      </c>
      <c r="Z964" s="131" t="str">
        <f>+Plant_Information!$B$12</f>
        <v>CLEVELAND, OH, 44115</v>
      </c>
      <c r="AA964" s="131" t="str">
        <f>+Plant_Information!$B$13</f>
        <v>12</v>
      </c>
      <c r="AB964" s="131" t="str">
        <f>+Plant_Information!$B$14</f>
        <v>CUY</v>
      </c>
      <c r="AC964" s="70"/>
    </row>
    <row r="965" spans="17:29" x14ac:dyDescent="0.2">
      <c r="Q965" t="str">
        <f>Plant_Information!$B$6</f>
        <v>(INSERT VENDOR NAME HERE)</v>
      </c>
      <c r="R965" t="str">
        <f>'HAULING RATES- ODOT Locations'!$A$151</f>
        <v>District 8</v>
      </c>
      <c r="S965" t="str">
        <f>'HAULING RATES- ODOT Locations'!A155</f>
        <v>Butler</v>
      </c>
      <c r="T965" t="str">
        <f>'HAULING RATES- ODOT Locations'!B155</f>
        <v>4011 Tytus Ave., Middletown, OH 45042</v>
      </c>
      <c r="U965" t="str">
        <f>'HAULING RATES- ODOT Locations'!G$8</f>
        <v>Dump Rock</v>
      </c>
      <c r="V965" s="146">
        <f>'HAULING RATES- ODOT Locations'!G155</f>
        <v>0</v>
      </c>
      <c r="W965" s="131" t="str">
        <f>+'Aggregate, Plant Pick-up'!$C$6</f>
        <v>LAFARGE-MARBLEHEAD "OSBORNE-CLEVELAND"</v>
      </c>
      <c r="X965" s="131" t="str">
        <f>+Plant_Information!$B$10</f>
        <v>04105-28</v>
      </c>
      <c r="Y965" s="131" t="str">
        <f>+Plant_Information!$B$11</f>
        <v>2100 CENTRAL FURNACE ROAD</v>
      </c>
      <c r="Z965" s="131" t="str">
        <f>+Plant_Information!$B$12</f>
        <v>CLEVELAND, OH, 44115</v>
      </c>
      <c r="AA965" s="131" t="str">
        <f>+Plant_Information!$B$13</f>
        <v>12</v>
      </c>
      <c r="AB965" s="131" t="str">
        <f>+Plant_Information!$B$14</f>
        <v>CUY</v>
      </c>
      <c r="AC965" s="70"/>
    </row>
    <row r="966" spans="17:29" x14ac:dyDescent="0.2">
      <c r="Q966" t="str">
        <f>Plant_Information!$B$6</f>
        <v>(INSERT VENDOR NAME HERE)</v>
      </c>
      <c r="R966" t="str">
        <f>'HAULING RATES- ODOT Locations'!$A$151</f>
        <v>District 8</v>
      </c>
      <c r="S966" t="str">
        <f>'HAULING RATES- ODOT Locations'!A156</f>
        <v>Clermont</v>
      </c>
      <c r="T966" t="str">
        <f>'HAULING RATES- ODOT Locations'!B156</f>
        <v>Batavia Garage, 3600 SR 132, Amelia, OH 45102</v>
      </c>
      <c r="U966" t="str">
        <f>'HAULING RATES- ODOT Locations'!G$8</f>
        <v>Dump Rock</v>
      </c>
      <c r="V966" s="146">
        <f>'HAULING RATES- ODOT Locations'!G156</f>
        <v>0</v>
      </c>
      <c r="W966" s="131" t="str">
        <f>+'Aggregate, Plant Pick-up'!$C$6</f>
        <v>LAFARGE-MARBLEHEAD "OSBORNE-CLEVELAND"</v>
      </c>
      <c r="X966" s="131" t="str">
        <f>+Plant_Information!$B$10</f>
        <v>04105-28</v>
      </c>
      <c r="Y966" s="131" t="str">
        <f>+Plant_Information!$B$11</f>
        <v>2100 CENTRAL FURNACE ROAD</v>
      </c>
      <c r="Z966" s="131" t="str">
        <f>+Plant_Information!$B$12</f>
        <v>CLEVELAND, OH, 44115</v>
      </c>
      <c r="AA966" s="131" t="str">
        <f>+Plant_Information!$B$13</f>
        <v>12</v>
      </c>
      <c r="AB966" s="131" t="str">
        <f>+Plant_Information!$B$14</f>
        <v>CUY</v>
      </c>
      <c r="AC966" s="70"/>
    </row>
    <row r="967" spans="17:29" x14ac:dyDescent="0.2">
      <c r="Q967" t="str">
        <f>Plant_Information!$B$6</f>
        <v>(INSERT VENDOR NAME HERE)</v>
      </c>
      <c r="R967" t="str">
        <f>'HAULING RATES- ODOT Locations'!$A$151</f>
        <v>District 8</v>
      </c>
      <c r="S967" t="str">
        <f>'HAULING RATES- ODOT Locations'!A157</f>
        <v>Clermont</v>
      </c>
      <c r="T967" t="str">
        <f>'HAULING RATES- ODOT Locations'!B157</f>
        <v>809 U. S. Route 50, Milford, OH 45150</v>
      </c>
      <c r="U967" t="str">
        <f>'HAULING RATES- ODOT Locations'!G$8</f>
        <v>Dump Rock</v>
      </c>
      <c r="V967" s="146">
        <f>'HAULING RATES- ODOT Locations'!G157</f>
        <v>0</v>
      </c>
      <c r="W967" s="131" t="str">
        <f>+'Aggregate, Plant Pick-up'!$C$6</f>
        <v>LAFARGE-MARBLEHEAD "OSBORNE-CLEVELAND"</v>
      </c>
      <c r="X967" s="131" t="str">
        <f>+Plant_Information!$B$10</f>
        <v>04105-28</v>
      </c>
      <c r="Y967" s="131" t="str">
        <f>+Plant_Information!$B$11</f>
        <v>2100 CENTRAL FURNACE ROAD</v>
      </c>
      <c r="Z967" s="131" t="str">
        <f>+Plant_Information!$B$12</f>
        <v>CLEVELAND, OH, 44115</v>
      </c>
      <c r="AA967" s="131" t="str">
        <f>+Plant_Information!$B$13</f>
        <v>12</v>
      </c>
      <c r="AB967" s="131" t="str">
        <f>+Plant_Information!$B$14</f>
        <v>CUY</v>
      </c>
      <c r="AC967" s="70"/>
    </row>
    <row r="968" spans="17:29" x14ac:dyDescent="0.2">
      <c r="Q968" t="str">
        <f>Plant_Information!$B$6</f>
        <v>(INSERT VENDOR NAME HERE)</v>
      </c>
      <c r="R968" t="str">
        <f>'HAULING RATES- ODOT Locations'!$A$151</f>
        <v>District 8</v>
      </c>
      <c r="S968" t="str">
        <f>'HAULING RATES- ODOT Locations'!A158</f>
        <v>Clermont</v>
      </c>
      <c r="T968" t="str">
        <f>'HAULING RATES- ODOT Locations'!B158</f>
        <v>939 Old U. S. Route 52, New Richmond, OH 45157</v>
      </c>
      <c r="U968" t="str">
        <f>'HAULING RATES- ODOT Locations'!G$8</f>
        <v>Dump Rock</v>
      </c>
      <c r="V968" s="146">
        <f>'HAULING RATES- ODOT Locations'!G158</f>
        <v>0</v>
      </c>
      <c r="W968" s="131" t="str">
        <f>+'Aggregate, Plant Pick-up'!$C$6</f>
        <v>LAFARGE-MARBLEHEAD "OSBORNE-CLEVELAND"</v>
      </c>
      <c r="X968" s="131" t="str">
        <f>+Plant_Information!$B$10</f>
        <v>04105-28</v>
      </c>
      <c r="Y968" s="131" t="str">
        <f>+Plant_Information!$B$11</f>
        <v>2100 CENTRAL FURNACE ROAD</v>
      </c>
      <c r="Z968" s="131" t="str">
        <f>+Plant_Information!$B$12</f>
        <v>CLEVELAND, OH, 44115</v>
      </c>
      <c r="AA968" s="131" t="str">
        <f>+Plant_Information!$B$13</f>
        <v>12</v>
      </c>
      <c r="AB968" s="131" t="str">
        <f>+Plant_Information!$B$14</f>
        <v>CUY</v>
      </c>
      <c r="AC968" s="70"/>
    </row>
    <row r="969" spans="17:29" x14ac:dyDescent="0.2">
      <c r="Q969" t="str">
        <f>Plant_Information!$B$6</f>
        <v>(INSERT VENDOR NAME HERE)</v>
      </c>
      <c r="R969" t="str">
        <f>'HAULING RATES- ODOT Locations'!$A$151</f>
        <v>District 8</v>
      </c>
      <c r="S969" t="str">
        <f>'HAULING RATES- ODOT Locations'!A159</f>
        <v>Clinton</v>
      </c>
      <c r="T969" t="str">
        <f>'HAULING RATES- ODOT Locations'!B159</f>
        <v>3382 U. S. Route 68, Wilmington, OH 45177</v>
      </c>
      <c r="U969" t="str">
        <f>'HAULING RATES- ODOT Locations'!G$8</f>
        <v>Dump Rock</v>
      </c>
      <c r="V969" s="146">
        <f>'HAULING RATES- ODOT Locations'!G159</f>
        <v>0</v>
      </c>
      <c r="W969" s="131" t="str">
        <f>+'Aggregate, Plant Pick-up'!$C$6</f>
        <v>LAFARGE-MARBLEHEAD "OSBORNE-CLEVELAND"</v>
      </c>
      <c r="X969" s="131" t="str">
        <f>+Plant_Information!$B$10</f>
        <v>04105-28</v>
      </c>
      <c r="Y969" s="131" t="str">
        <f>+Plant_Information!$B$11</f>
        <v>2100 CENTRAL FURNACE ROAD</v>
      </c>
      <c r="Z969" s="131" t="str">
        <f>+Plant_Information!$B$12</f>
        <v>CLEVELAND, OH, 44115</v>
      </c>
      <c r="AA969" s="131" t="str">
        <f>+Plant_Information!$B$13</f>
        <v>12</v>
      </c>
      <c r="AB969" s="131" t="str">
        <f>+Plant_Information!$B$14</f>
        <v>CUY</v>
      </c>
      <c r="AC969" s="70"/>
    </row>
    <row r="970" spans="17:29" x14ac:dyDescent="0.2">
      <c r="Q970" t="str">
        <f>Plant_Information!$B$6</f>
        <v>(INSERT VENDOR NAME HERE)</v>
      </c>
      <c r="R970" t="str">
        <f>'HAULING RATES- ODOT Locations'!$A$151</f>
        <v>District 8</v>
      </c>
      <c r="S970" t="str">
        <f>'HAULING RATES- ODOT Locations'!A160</f>
        <v>Clinton</v>
      </c>
      <c r="T970" t="str">
        <f>'HAULING RATES- ODOT Locations'!B160</f>
        <v>5996 U. S. Route 68, Wilmington, OH 45177  (I-71 &amp; USR 68 OP)</v>
      </c>
      <c r="U970" t="str">
        <f>'HAULING RATES- ODOT Locations'!G$8</f>
        <v>Dump Rock</v>
      </c>
      <c r="V970" s="146">
        <f>'HAULING RATES- ODOT Locations'!G160</f>
        <v>0</v>
      </c>
      <c r="W970" s="131" t="str">
        <f>+'Aggregate, Plant Pick-up'!$C$6</f>
        <v>LAFARGE-MARBLEHEAD "OSBORNE-CLEVELAND"</v>
      </c>
      <c r="X970" s="131" t="str">
        <f>+Plant_Information!$B$10</f>
        <v>04105-28</v>
      </c>
      <c r="Y970" s="131" t="str">
        <f>+Plant_Information!$B$11</f>
        <v>2100 CENTRAL FURNACE ROAD</v>
      </c>
      <c r="Z970" s="131" t="str">
        <f>+Plant_Information!$B$12</f>
        <v>CLEVELAND, OH, 44115</v>
      </c>
      <c r="AA970" s="131" t="str">
        <f>+Plant_Information!$B$13</f>
        <v>12</v>
      </c>
      <c r="AB970" s="131" t="str">
        <f>+Plant_Information!$B$14</f>
        <v>CUY</v>
      </c>
      <c r="AC970" s="70"/>
    </row>
    <row r="971" spans="17:29" x14ac:dyDescent="0.2">
      <c r="Q971" t="str">
        <f>Plant_Information!$B$6</f>
        <v>(INSERT VENDOR NAME HERE)</v>
      </c>
      <c r="R971" t="str">
        <f>'HAULING RATES- ODOT Locations'!$A$151</f>
        <v>District 8</v>
      </c>
      <c r="S971" t="str">
        <f>'HAULING RATES- ODOT Locations'!A161</f>
        <v>Greene</v>
      </c>
      <c r="T971" t="str">
        <f>'HAULING RATES- ODOT Locations'!B161</f>
        <v>81 Innovation Dr., Xenia, OH 45385</v>
      </c>
      <c r="U971" t="str">
        <f>'HAULING RATES- ODOT Locations'!G$8</f>
        <v>Dump Rock</v>
      </c>
      <c r="V971" s="146">
        <f>'HAULING RATES- ODOT Locations'!G161</f>
        <v>0</v>
      </c>
      <c r="W971" s="131" t="str">
        <f>+'Aggregate, Plant Pick-up'!$C$6</f>
        <v>LAFARGE-MARBLEHEAD "OSBORNE-CLEVELAND"</v>
      </c>
      <c r="X971" s="131" t="str">
        <f>+Plant_Information!$B$10</f>
        <v>04105-28</v>
      </c>
      <c r="Y971" s="131" t="str">
        <f>+Plant_Information!$B$11</f>
        <v>2100 CENTRAL FURNACE ROAD</v>
      </c>
      <c r="Z971" s="131" t="str">
        <f>+Plant_Information!$B$12</f>
        <v>CLEVELAND, OH, 44115</v>
      </c>
      <c r="AA971" s="131" t="str">
        <f>+Plant_Information!$B$13</f>
        <v>12</v>
      </c>
      <c r="AB971" s="131" t="str">
        <f>+Plant_Information!$B$14</f>
        <v>CUY</v>
      </c>
      <c r="AC971" s="70"/>
    </row>
    <row r="972" spans="17:29" x14ac:dyDescent="0.2">
      <c r="Q972" t="str">
        <f>Plant_Information!$B$6</f>
        <v>(INSERT VENDOR NAME HERE)</v>
      </c>
      <c r="R972" t="str">
        <f>'HAULING RATES- ODOT Locations'!$A$151</f>
        <v>District 8</v>
      </c>
      <c r="S972" t="str">
        <f>'HAULING RATES- ODOT Locations'!A162</f>
        <v>Hamilton</v>
      </c>
      <c r="T972" t="str">
        <f>'HAULING RATES- ODOT Locations'!B162</f>
        <v>Blue Ash OP, 11590 Grooms Road, Blue Ash, OH 45242</v>
      </c>
      <c r="U972" t="str">
        <f>'HAULING RATES- ODOT Locations'!G$8</f>
        <v>Dump Rock</v>
      </c>
      <c r="V972" s="146">
        <f>'HAULING RATES- ODOT Locations'!G162</f>
        <v>0</v>
      </c>
      <c r="W972" s="131" t="str">
        <f>+'Aggregate, Plant Pick-up'!$C$6</f>
        <v>LAFARGE-MARBLEHEAD "OSBORNE-CLEVELAND"</v>
      </c>
      <c r="X972" s="131" t="str">
        <f>+Plant_Information!$B$10</f>
        <v>04105-28</v>
      </c>
      <c r="Y972" s="131" t="str">
        <f>+Plant_Information!$B$11</f>
        <v>2100 CENTRAL FURNACE ROAD</v>
      </c>
      <c r="Z972" s="131" t="str">
        <f>+Plant_Information!$B$12</f>
        <v>CLEVELAND, OH, 44115</v>
      </c>
      <c r="AA972" s="131" t="str">
        <f>+Plant_Information!$B$13</f>
        <v>12</v>
      </c>
      <c r="AB972" s="131" t="str">
        <f>+Plant_Information!$B$14</f>
        <v>CUY</v>
      </c>
      <c r="AC972" s="70"/>
    </row>
    <row r="973" spans="17:29" x14ac:dyDescent="0.2">
      <c r="Q973" t="str">
        <f>Plant_Information!$B$6</f>
        <v>(INSERT VENDOR NAME HERE)</v>
      </c>
      <c r="R973" t="str">
        <f>'HAULING RATES- ODOT Locations'!$A$151</f>
        <v>District 8</v>
      </c>
      <c r="S973" t="str">
        <f>'HAULING RATES- ODOT Locations'!A163</f>
        <v>Hamilton</v>
      </c>
      <c r="T973" t="str">
        <f>'HAULING RATES- ODOT Locations'!B163</f>
        <v>Hamilton Garage, Carthage, 1400 E. Seymour Ave., Cincinnati, OH 45327</v>
      </c>
      <c r="U973" t="str">
        <f>'HAULING RATES- ODOT Locations'!G$8</f>
        <v>Dump Rock</v>
      </c>
      <c r="V973" s="146">
        <f>'HAULING RATES- ODOT Locations'!G163</f>
        <v>0</v>
      </c>
      <c r="W973" s="131" t="str">
        <f>+'Aggregate, Plant Pick-up'!$C$6</f>
        <v>LAFARGE-MARBLEHEAD "OSBORNE-CLEVELAND"</v>
      </c>
      <c r="X973" s="131" t="str">
        <f>+Plant_Information!$B$10</f>
        <v>04105-28</v>
      </c>
      <c r="Y973" s="131" t="str">
        <f>+Plant_Information!$B$11</f>
        <v>2100 CENTRAL FURNACE ROAD</v>
      </c>
      <c r="Z973" s="131" t="str">
        <f>+Plant_Information!$B$12</f>
        <v>CLEVELAND, OH, 44115</v>
      </c>
      <c r="AA973" s="131" t="str">
        <f>+Plant_Information!$B$13</f>
        <v>12</v>
      </c>
      <c r="AB973" s="131" t="str">
        <f>+Plant_Information!$B$14</f>
        <v>CUY</v>
      </c>
      <c r="AC973" s="70"/>
    </row>
    <row r="974" spans="17:29" x14ac:dyDescent="0.2">
      <c r="Q974" t="str">
        <f>Plant_Information!$B$6</f>
        <v>(INSERT VENDOR NAME HERE)</v>
      </c>
      <c r="R974" t="str">
        <f>'HAULING RATES- ODOT Locations'!$A$151</f>
        <v>District 8</v>
      </c>
      <c r="S974" t="str">
        <f>'HAULING RATES- ODOT Locations'!A164</f>
        <v>Hamilton</v>
      </c>
      <c r="T974" t="str">
        <f>'HAULING RATES- ODOT Locations'!B164</f>
        <v>5903 State Route 128, Miamitown, OH 45041</v>
      </c>
      <c r="U974" t="str">
        <f>'HAULING RATES- ODOT Locations'!G$8</f>
        <v>Dump Rock</v>
      </c>
      <c r="V974" s="146">
        <f>'HAULING RATES- ODOT Locations'!G164</f>
        <v>0</v>
      </c>
      <c r="W974" s="131" t="str">
        <f>+'Aggregate, Plant Pick-up'!$C$6</f>
        <v>LAFARGE-MARBLEHEAD "OSBORNE-CLEVELAND"</v>
      </c>
      <c r="X974" s="131" t="str">
        <f>+Plant_Information!$B$10</f>
        <v>04105-28</v>
      </c>
      <c r="Y974" s="131" t="str">
        <f>+Plant_Information!$B$11</f>
        <v>2100 CENTRAL FURNACE ROAD</v>
      </c>
      <c r="Z974" s="131" t="str">
        <f>+Plant_Information!$B$12</f>
        <v>CLEVELAND, OH, 44115</v>
      </c>
      <c r="AA974" s="131" t="str">
        <f>+Plant_Information!$B$13</f>
        <v>12</v>
      </c>
      <c r="AB974" s="131" t="str">
        <f>+Plant_Information!$B$14</f>
        <v>CUY</v>
      </c>
      <c r="AC974" s="70"/>
    </row>
    <row r="975" spans="17:29" x14ac:dyDescent="0.2">
      <c r="Q975" t="str">
        <f>Plant_Information!$B$6</f>
        <v>(INSERT VENDOR NAME HERE)</v>
      </c>
      <c r="R975" t="str">
        <f>'HAULING RATES- ODOT Locations'!$A$151</f>
        <v>District 8</v>
      </c>
      <c r="S975" t="str">
        <f>'HAULING RATES- ODOT Locations'!A165</f>
        <v>Hamilton</v>
      </c>
      <c r="T975" t="str">
        <f>'HAULING RATES- ODOT Locations'!B165</f>
        <v>Sharonville OP, 11900 Chesterdale Rd.,  Cincinnati</v>
      </c>
      <c r="U975" t="str">
        <f>'HAULING RATES- ODOT Locations'!G$8</f>
        <v>Dump Rock</v>
      </c>
      <c r="V975" s="146">
        <f>'HAULING RATES- ODOT Locations'!G165</f>
        <v>0</v>
      </c>
      <c r="W975" s="131" t="str">
        <f>+'Aggregate, Plant Pick-up'!$C$6</f>
        <v>LAFARGE-MARBLEHEAD "OSBORNE-CLEVELAND"</v>
      </c>
      <c r="X975" s="131" t="str">
        <f>+Plant_Information!$B$10</f>
        <v>04105-28</v>
      </c>
      <c r="Y975" s="131" t="str">
        <f>+Plant_Information!$B$11</f>
        <v>2100 CENTRAL FURNACE ROAD</v>
      </c>
      <c r="Z975" s="131" t="str">
        <f>+Plant_Information!$B$12</f>
        <v>CLEVELAND, OH, 44115</v>
      </c>
      <c r="AA975" s="131" t="str">
        <f>+Plant_Information!$B$13</f>
        <v>12</v>
      </c>
      <c r="AB975" s="131" t="str">
        <f>+Plant_Information!$B$14</f>
        <v>CUY</v>
      </c>
      <c r="AC975" s="70"/>
    </row>
    <row r="976" spans="17:29" x14ac:dyDescent="0.2">
      <c r="Q976" t="str">
        <f>Plant_Information!$B$6</f>
        <v>(INSERT VENDOR NAME HERE)</v>
      </c>
      <c r="R976" t="str">
        <f>'HAULING RATES- ODOT Locations'!$A$151</f>
        <v>District 8</v>
      </c>
      <c r="S976" t="str">
        <f>'HAULING RATES- ODOT Locations'!A166</f>
        <v>Preble</v>
      </c>
      <c r="T976" t="str">
        <f>'HAULING RATES- ODOT Locations'!B166</f>
        <v>40' Pitch OP, 5656 US 127 North, Eaton, OH 45320</v>
      </c>
      <c r="U976" t="str">
        <f>'HAULING RATES- ODOT Locations'!G$8</f>
        <v>Dump Rock</v>
      </c>
      <c r="V976" s="146">
        <f>'HAULING RATES- ODOT Locations'!G166</f>
        <v>0</v>
      </c>
      <c r="W976" s="131" t="str">
        <f>+'Aggregate, Plant Pick-up'!$C$6</f>
        <v>LAFARGE-MARBLEHEAD "OSBORNE-CLEVELAND"</v>
      </c>
      <c r="X976" s="131" t="str">
        <f>+Plant_Information!$B$10</f>
        <v>04105-28</v>
      </c>
      <c r="Y976" s="131" t="str">
        <f>+Plant_Information!$B$11</f>
        <v>2100 CENTRAL FURNACE ROAD</v>
      </c>
      <c r="Z976" s="131" t="str">
        <f>+Plant_Information!$B$12</f>
        <v>CLEVELAND, OH, 44115</v>
      </c>
      <c r="AA976" s="131" t="str">
        <f>+Plant_Information!$B$13</f>
        <v>12</v>
      </c>
      <c r="AB976" s="131" t="str">
        <f>+Plant_Information!$B$14</f>
        <v>CUY</v>
      </c>
      <c r="AC976" s="70"/>
    </row>
    <row r="977" spans="17:29" x14ac:dyDescent="0.2">
      <c r="Q977" t="str">
        <f>Plant_Information!$B$6</f>
        <v>(INSERT VENDOR NAME HERE)</v>
      </c>
      <c r="R977" t="str">
        <f>'HAULING RATES- ODOT Locations'!$A$151</f>
        <v>District 8</v>
      </c>
      <c r="S977" t="str">
        <f>'HAULING RATES- ODOT Locations'!A167</f>
        <v>Preble</v>
      </c>
      <c r="T977" t="str">
        <f>'HAULING RATES- ODOT Locations'!B167</f>
        <v>39.575773, -84.711591, According to Google Maps, 17188 SR 732, Camden, Ohio  45311</v>
      </c>
      <c r="U977" t="str">
        <f>'HAULING RATES- ODOT Locations'!G$8</f>
        <v>Dump Rock</v>
      </c>
      <c r="V977" s="146">
        <f>'HAULING RATES- ODOT Locations'!G167</f>
        <v>0</v>
      </c>
      <c r="W977" s="131" t="str">
        <f>+'Aggregate, Plant Pick-up'!$C$6</f>
        <v>LAFARGE-MARBLEHEAD "OSBORNE-CLEVELAND"</v>
      </c>
      <c r="X977" s="131" t="str">
        <f>+Plant_Information!$B$10</f>
        <v>04105-28</v>
      </c>
      <c r="Y977" s="131" t="str">
        <f>+Plant_Information!$B$11</f>
        <v>2100 CENTRAL FURNACE ROAD</v>
      </c>
      <c r="Z977" s="131" t="str">
        <f>+Plant_Information!$B$12</f>
        <v>CLEVELAND, OH, 44115</v>
      </c>
      <c r="AA977" s="131" t="str">
        <f>+Plant_Information!$B$13</f>
        <v>12</v>
      </c>
      <c r="AB977" s="131" t="str">
        <f>+Plant_Information!$B$14</f>
        <v>CUY</v>
      </c>
      <c r="AC977" s="70"/>
    </row>
    <row r="978" spans="17:29" x14ac:dyDescent="0.2">
      <c r="Q978" t="str">
        <f>Plant_Information!$B$6</f>
        <v>(INSERT VENDOR NAME HERE)</v>
      </c>
      <c r="R978" t="str">
        <f>'HAULING RATES- ODOT Locations'!$A$151</f>
        <v>District 8</v>
      </c>
      <c r="S978" t="str">
        <f>'HAULING RATES- ODOT Locations'!A168</f>
        <v>Preble</v>
      </c>
      <c r="T978" t="str">
        <f>'HAULING RATES- ODOT Locations'!B168</f>
        <v>234 Quaker Trace Road, West Alexandria, OH 45381</v>
      </c>
      <c r="U978" t="str">
        <f>'HAULING RATES- ODOT Locations'!G$8</f>
        <v>Dump Rock</v>
      </c>
      <c r="V978" s="146">
        <f>'HAULING RATES- ODOT Locations'!G168</f>
        <v>0</v>
      </c>
      <c r="W978" s="131" t="str">
        <f>+'Aggregate, Plant Pick-up'!$C$6</f>
        <v>LAFARGE-MARBLEHEAD "OSBORNE-CLEVELAND"</v>
      </c>
      <c r="X978" s="131" t="str">
        <f>+Plant_Information!$B$10</f>
        <v>04105-28</v>
      </c>
      <c r="Y978" s="131" t="str">
        <f>+Plant_Information!$B$11</f>
        <v>2100 CENTRAL FURNACE ROAD</v>
      </c>
      <c r="Z978" s="131" t="str">
        <f>+Plant_Information!$B$12</f>
        <v>CLEVELAND, OH, 44115</v>
      </c>
      <c r="AA978" s="131" t="str">
        <f>+Plant_Information!$B$13</f>
        <v>12</v>
      </c>
      <c r="AB978" s="131" t="str">
        <f>+Plant_Information!$B$14</f>
        <v>CUY</v>
      </c>
      <c r="AC978" s="70"/>
    </row>
    <row r="979" spans="17:29" x14ac:dyDescent="0.2">
      <c r="Q979" t="str">
        <f>Plant_Information!$B$6</f>
        <v>(INSERT VENDOR NAME HERE)</v>
      </c>
      <c r="R979" t="str">
        <f>'HAULING RATES- ODOT Locations'!$A$151</f>
        <v>District 8</v>
      </c>
      <c r="S979" t="str">
        <f>'HAULING RATES- ODOT Locations'!A169</f>
        <v>Warren</v>
      </c>
      <c r="T979" t="str">
        <f>'HAULING RATES- ODOT Locations'!B169</f>
        <v>Monroe OP, 6101 State Route 63, Lebanon, OH 45036</v>
      </c>
      <c r="U979" t="str">
        <f>'HAULING RATES- ODOT Locations'!G$8</f>
        <v>Dump Rock</v>
      </c>
      <c r="V979" s="146">
        <f>'HAULING RATES- ODOT Locations'!G169</f>
        <v>0</v>
      </c>
      <c r="W979" s="131" t="str">
        <f>+'Aggregate, Plant Pick-up'!$C$6</f>
        <v>LAFARGE-MARBLEHEAD "OSBORNE-CLEVELAND"</v>
      </c>
      <c r="X979" s="131" t="str">
        <f>+Plant_Information!$B$10</f>
        <v>04105-28</v>
      </c>
      <c r="Y979" s="131" t="str">
        <f>+Plant_Information!$B$11</f>
        <v>2100 CENTRAL FURNACE ROAD</v>
      </c>
      <c r="Z979" s="131" t="str">
        <f>+Plant_Information!$B$12</f>
        <v>CLEVELAND, OH, 44115</v>
      </c>
      <c r="AA979" s="131" t="str">
        <f>+Plant_Information!$B$13</f>
        <v>12</v>
      </c>
      <c r="AB979" s="131" t="str">
        <f>+Plant_Information!$B$14</f>
        <v>CUY</v>
      </c>
      <c r="AC979" s="70"/>
    </row>
    <row r="980" spans="17:29" x14ac:dyDescent="0.2">
      <c r="Q980" t="str">
        <f>Plant_Information!$B$6</f>
        <v>(INSERT VENDOR NAME HERE)</v>
      </c>
      <c r="R980" t="str">
        <f>'HAULING RATES- ODOT Locations'!$A$151</f>
        <v>District 8</v>
      </c>
      <c r="S980" t="str">
        <f>'HAULING RATES- ODOT Locations'!A170</f>
        <v>Warren</v>
      </c>
      <c r="T980" t="str">
        <f>'HAULING RATES- ODOT Locations'!B170</f>
        <v>1790 Cornett Drive, Lebanon, OH 45036</v>
      </c>
      <c r="U980" t="str">
        <f>'HAULING RATES- ODOT Locations'!G$8</f>
        <v>Dump Rock</v>
      </c>
      <c r="V980" s="146">
        <f>'HAULING RATES- ODOT Locations'!G170</f>
        <v>0</v>
      </c>
      <c r="W980" s="131" t="str">
        <f>+'Aggregate, Plant Pick-up'!$C$6</f>
        <v>LAFARGE-MARBLEHEAD "OSBORNE-CLEVELAND"</v>
      </c>
      <c r="X980" s="131" t="str">
        <f>+Plant_Information!$B$10</f>
        <v>04105-28</v>
      </c>
      <c r="Y980" s="131" t="str">
        <f>+Plant_Information!$B$11</f>
        <v>2100 CENTRAL FURNACE ROAD</v>
      </c>
      <c r="Z980" s="131" t="str">
        <f>+Plant_Information!$B$12</f>
        <v>CLEVELAND, OH, 44115</v>
      </c>
      <c r="AA980" s="131" t="str">
        <f>+Plant_Information!$B$13</f>
        <v>12</v>
      </c>
      <c r="AB980" s="131" t="str">
        <f>+Plant_Information!$B$14</f>
        <v>CUY</v>
      </c>
      <c r="AC980" s="70"/>
    </row>
    <row r="981" spans="17:29" x14ac:dyDescent="0.2">
      <c r="Q981" t="str">
        <f>Plant_Information!$B$6</f>
        <v>(INSERT VENDOR NAME HERE)</v>
      </c>
      <c r="R981" t="str">
        <f>'HAULING RATES- ODOT Locations'!$A$171</f>
        <v>District 9</v>
      </c>
      <c r="S981" t="str">
        <f>'HAULING RATES- ODOT Locations'!A174</f>
        <v>Adams</v>
      </c>
      <c r="T981" t="str">
        <f>'HAULING RATES- ODOT Locations'!B174</f>
        <v>1305 Measley Ridge Rd. Peebles, OH 45660</v>
      </c>
      <c r="U981" t="str">
        <f>'HAULING RATES- ODOT Locations'!G$8</f>
        <v>Dump Rock</v>
      </c>
      <c r="V981" s="146">
        <f>'HAULING RATES- ODOT Locations'!G174</f>
        <v>0</v>
      </c>
      <c r="W981" s="131" t="str">
        <f>+'Aggregate, Plant Pick-up'!$C$6</f>
        <v>LAFARGE-MARBLEHEAD "OSBORNE-CLEVELAND"</v>
      </c>
      <c r="X981" s="131" t="str">
        <f>+Plant_Information!$B$10</f>
        <v>04105-28</v>
      </c>
      <c r="Y981" s="131" t="str">
        <f>+Plant_Information!$B$11</f>
        <v>2100 CENTRAL FURNACE ROAD</v>
      </c>
      <c r="Z981" s="131" t="str">
        <f>+Plant_Information!$B$12</f>
        <v>CLEVELAND, OH, 44115</v>
      </c>
      <c r="AA981" s="131" t="str">
        <f>+Plant_Information!$B$13</f>
        <v>12</v>
      </c>
      <c r="AB981" s="131" t="str">
        <f>+Plant_Information!$B$14</f>
        <v>CUY</v>
      </c>
      <c r="AC981" s="70"/>
    </row>
    <row r="982" spans="17:29" x14ac:dyDescent="0.2">
      <c r="Q982" t="str">
        <f>Plant_Information!$B$6</f>
        <v>(INSERT VENDOR NAME HERE)</v>
      </c>
      <c r="R982" t="str">
        <f>'HAULING RATES- ODOT Locations'!$A$171</f>
        <v>District 9</v>
      </c>
      <c r="S982" t="str">
        <f>'HAULING RATES- ODOT Locations'!A175</f>
        <v>Adams</v>
      </c>
      <c r="T982" t="str">
        <f>'HAULING RATES- ODOT Locations'!B175</f>
        <v>220 CIC Blvd., West Union, OH 45693</v>
      </c>
      <c r="U982" t="str">
        <f>'HAULING RATES- ODOT Locations'!G$8</f>
        <v>Dump Rock</v>
      </c>
      <c r="V982" s="146">
        <f>'HAULING RATES- ODOT Locations'!G175</f>
        <v>0</v>
      </c>
      <c r="W982" s="131" t="str">
        <f>+'Aggregate, Plant Pick-up'!$C$6</f>
        <v>LAFARGE-MARBLEHEAD "OSBORNE-CLEVELAND"</v>
      </c>
      <c r="X982" s="131" t="str">
        <f>+Plant_Information!$B$10</f>
        <v>04105-28</v>
      </c>
      <c r="Y982" s="131" t="str">
        <f>+Plant_Information!$B$11</f>
        <v>2100 CENTRAL FURNACE ROAD</v>
      </c>
      <c r="Z982" s="131" t="str">
        <f>+Plant_Information!$B$12</f>
        <v>CLEVELAND, OH, 44115</v>
      </c>
      <c r="AA982" s="131" t="str">
        <f>+Plant_Information!$B$13</f>
        <v>12</v>
      </c>
      <c r="AB982" s="131" t="str">
        <f>+Plant_Information!$B$14</f>
        <v>CUY</v>
      </c>
      <c r="AC982" s="70"/>
    </row>
    <row r="983" spans="17:29" x14ac:dyDescent="0.2">
      <c r="Q983" t="str">
        <f>Plant_Information!$B$6</f>
        <v>(INSERT VENDOR NAME HERE)</v>
      </c>
      <c r="R983" t="str">
        <f>'HAULING RATES- ODOT Locations'!$A$171</f>
        <v>District 9</v>
      </c>
      <c r="S983" t="str">
        <f>'HAULING RATES- ODOT Locations'!A176</f>
        <v>Brown</v>
      </c>
      <c r="T983" t="str">
        <f>'HAULING RATES- ODOT Locations'!B176</f>
        <v>5124 S.R. 125 Georgetown, OH 45121</v>
      </c>
      <c r="U983" t="str">
        <f>'HAULING RATES- ODOT Locations'!G$8</f>
        <v>Dump Rock</v>
      </c>
      <c r="V983" s="146">
        <f>'HAULING RATES- ODOT Locations'!G176</f>
        <v>0</v>
      </c>
      <c r="W983" s="131" t="str">
        <f>+'Aggregate, Plant Pick-up'!$C$6</f>
        <v>LAFARGE-MARBLEHEAD "OSBORNE-CLEVELAND"</v>
      </c>
      <c r="X983" s="131" t="str">
        <f>+Plant_Information!$B$10</f>
        <v>04105-28</v>
      </c>
      <c r="Y983" s="131" t="str">
        <f>+Plant_Information!$B$11</f>
        <v>2100 CENTRAL FURNACE ROAD</v>
      </c>
      <c r="Z983" s="131" t="str">
        <f>+Plant_Information!$B$12</f>
        <v>CLEVELAND, OH, 44115</v>
      </c>
      <c r="AA983" s="131" t="str">
        <f>+Plant_Information!$B$13</f>
        <v>12</v>
      </c>
      <c r="AB983" s="131" t="str">
        <f>+Plant_Information!$B$14</f>
        <v>CUY</v>
      </c>
      <c r="AC983" s="70"/>
    </row>
    <row r="984" spans="17:29" x14ac:dyDescent="0.2">
      <c r="Q984" t="str">
        <f>Plant_Information!$B$6</f>
        <v>(INSERT VENDOR NAME HERE)</v>
      </c>
      <c r="R984" t="str">
        <f>'HAULING RATES- ODOT Locations'!$A$171</f>
        <v>District 9</v>
      </c>
      <c r="S984" t="str">
        <f>'HAULING RATES- ODOT Locations'!A177</f>
        <v>Brown</v>
      </c>
      <c r="T984" t="str">
        <f>'HAULING RATES- ODOT Locations'!B177</f>
        <v>White Oak OP, 5033 Canyon Rd. Mount Orab, OH 45134</v>
      </c>
      <c r="U984" t="str">
        <f>'HAULING RATES- ODOT Locations'!G$8</f>
        <v>Dump Rock</v>
      </c>
      <c r="V984" s="146">
        <f>'HAULING RATES- ODOT Locations'!G177</f>
        <v>0</v>
      </c>
      <c r="W984" s="131" t="str">
        <f>+'Aggregate, Plant Pick-up'!$C$6</f>
        <v>LAFARGE-MARBLEHEAD "OSBORNE-CLEVELAND"</v>
      </c>
      <c r="X984" s="131" t="str">
        <f>+Plant_Information!$B$10</f>
        <v>04105-28</v>
      </c>
      <c r="Y984" s="131" t="str">
        <f>+Plant_Information!$B$11</f>
        <v>2100 CENTRAL FURNACE ROAD</v>
      </c>
      <c r="Z984" s="131" t="str">
        <f>+Plant_Information!$B$12</f>
        <v>CLEVELAND, OH, 44115</v>
      </c>
      <c r="AA984" s="131" t="str">
        <f>+Plant_Information!$B$13</f>
        <v>12</v>
      </c>
      <c r="AB984" s="131" t="str">
        <f>+Plant_Information!$B$14</f>
        <v>CUY</v>
      </c>
      <c r="AC984" s="70"/>
    </row>
    <row r="985" spans="17:29" x14ac:dyDescent="0.2">
      <c r="Q985" t="str">
        <f>Plant_Information!$B$6</f>
        <v>(INSERT VENDOR NAME HERE)</v>
      </c>
      <c r="R985" t="str">
        <f>'HAULING RATES- ODOT Locations'!$A$171</f>
        <v>District 9</v>
      </c>
      <c r="S985" t="str">
        <f>'HAULING RATES- ODOT Locations'!A178</f>
        <v>Highland</v>
      </c>
      <c r="T985" t="str">
        <f>'HAULING RATES- ODOT Locations'!B178</f>
        <v>521 E Main St, Hillsboro, OH 45133</v>
      </c>
      <c r="U985" t="str">
        <f>'HAULING RATES- ODOT Locations'!G$8</f>
        <v>Dump Rock</v>
      </c>
      <c r="V985" s="146">
        <f>'HAULING RATES- ODOT Locations'!G178</f>
        <v>0</v>
      </c>
      <c r="W985" s="131" t="str">
        <f>+'Aggregate, Plant Pick-up'!$C$6</f>
        <v>LAFARGE-MARBLEHEAD "OSBORNE-CLEVELAND"</v>
      </c>
      <c r="X985" s="131" t="str">
        <f>+Plant_Information!$B$10</f>
        <v>04105-28</v>
      </c>
      <c r="Y985" s="131" t="str">
        <f>+Plant_Information!$B$11</f>
        <v>2100 CENTRAL FURNACE ROAD</v>
      </c>
      <c r="Z985" s="131" t="str">
        <f>+Plant_Information!$B$12</f>
        <v>CLEVELAND, OH, 44115</v>
      </c>
      <c r="AA985" s="131" t="str">
        <f>+Plant_Information!$B$13</f>
        <v>12</v>
      </c>
      <c r="AB985" s="131" t="str">
        <f>+Plant_Information!$B$14</f>
        <v>CUY</v>
      </c>
      <c r="AC985" s="70"/>
    </row>
    <row r="986" spans="17:29" x14ac:dyDescent="0.2">
      <c r="Q986" t="str">
        <f>Plant_Information!$B$6</f>
        <v>(INSERT VENDOR NAME HERE)</v>
      </c>
      <c r="R986" t="str">
        <f>'HAULING RATES- ODOT Locations'!$A$171</f>
        <v>District 9</v>
      </c>
      <c r="S986" t="str">
        <f>'HAULING RATES- ODOT Locations'!A179</f>
        <v>Jackson</v>
      </c>
      <c r="T986" t="str">
        <f>'HAULING RATES- ODOT Locations'!B179</f>
        <v>2251 Rice Rd. Jackson, OH 45640</v>
      </c>
      <c r="U986" t="str">
        <f>'HAULING RATES- ODOT Locations'!G$8</f>
        <v>Dump Rock</v>
      </c>
      <c r="V986" s="146">
        <f>'HAULING RATES- ODOT Locations'!G179</f>
        <v>0</v>
      </c>
      <c r="W986" s="131" t="str">
        <f>+'Aggregate, Plant Pick-up'!$C$6</f>
        <v>LAFARGE-MARBLEHEAD "OSBORNE-CLEVELAND"</v>
      </c>
      <c r="X986" s="131" t="str">
        <f>+Plant_Information!$B$10</f>
        <v>04105-28</v>
      </c>
      <c r="Y986" s="131" t="str">
        <f>+Plant_Information!$B$11</f>
        <v>2100 CENTRAL FURNACE ROAD</v>
      </c>
      <c r="Z986" s="131" t="str">
        <f>+Plant_Information!$B$12</f>
        <v>CLEVELAND, OH, 44115</v>
      </c>
      <c r="AA986" s="131" t="str">
        <f>+Plant_Information!$B$13</f>
        <v>12</v>
      </c>
      <c r="AB986" s="131" t="str">
        <f>+Plant_Information!$B$14</f>
        <v>CUY</v>
      </c>
      <c r="AC986" s="70"/>
    </row>
    <row r="987" spans="17:29" x14ac:dyDescent="0.2">
      <c r="Q987" t="str">
        <f>Plant_Information!$B$6</f>
        <v>(INSERT VENDOR NAME HERE)</v>
      </c>
      <c r="R987" t="str">
        <f>'HAULING RATES- ODOT Locations'!$A$171</f>
        <v>District 9</v>
      </c>
      <c r="S987" t="str">
        <f>'HAULING RATES- ODOT Locations'!A180</f>
        <v>Jackson</v>
      </c>
      <c r="T987" t="str">
        <f>'HAULING RATES- ODOT Locations'!B180</f>
        <v>13366 SR 279, Oak Hill, OH 45656</v>
      </c>
      <c r="U987" t="str">
        <f>'HAULING RATES- ODOT Locations'!G$8</f>
        <v>Dump Rock</v>
      </c>
      <c r="V987" s="146">
        <f>'HAULING RATES- ODOT Locations'!G180</f>
        <v>0</v>
      </c>
      <c r="W987" s="131" t="str">
        <f>+'Aggregate, Plant Pick-up'!$C$6</f>
        <v>LAFARGE-MARBLEHEAD "OSBORNE-CLEVELAND"</v>
      </c>
      <c r="X987" s="131" t="str">
        <f>+Plant_Information!$B$10</f>
        <v>04105-28</v>
      </c>
      <c r="Y987" s="131" t="str">
        <f>+Plant_Information!$B$11</f>
        <v>2100 CENTRAL FURNACE ROAD</v>
      </c>
      <c r="Z987" s="131" t="str">
        <f>+Plant_Information!$B$12</f>
        <v>CLEVELAND, OH, 44115</v>
      </c>
      <c r="AA987" s="131" t="str">
        <f>+Plant_Information!$B$13</f>
        <v>12</v>
      </c>
      <c r="AB987" s="131" t="str">
        <f>+Plant_Information!$B$14</f>
        <v>CUY</v>
      </c>
      <c r="AC987" s="70"/>
    </row>
    <row r="988" spans="17:29" x14ac:dyDescent="0.2">
      <c r="Q988" t="str">
        <f>Plant_Information!$B$6</f>
        <v>(INSERT VENDOR NAME HERE)</v>
      </c>
      <c r="R988" t="str">
        <f>'HAULING RATES- ODOT Locations'!$A$171</f>
        <v>District 9</v>
      </c>
      <c r="S988" t="str">
        <f>'HAULING RATES- ODOT Locations'!A181</f>
        <v>Lawrence</v>
      </c>
      <c r="T988" t="str">
        <f>'HAULING RATES- ODOT Locations'!B181</f>
        <v>450 Commerce Drive Ironton, OH 45638</v>
      </c>
      <c r="U988" t="str">
        <f>'HAULING RATES- ODOT Locations'!G$8</f>
        <v>Dump Rock</v>
      </c>
      <c r="V988" s="146">
        <f>'HAULING RATES- ODOT Locations'!G181</f>
        <v>0</v>
      </c>
      <c r="W988" s="131" t="str">
        <f>+'Aggregate, Plant Pick-up'!$C$6</f>
        <v>LAFARGE-MARBLEHEAD "OSBORNE-CLEVELAND"</v>
      </c>
      <c r="X988" s="131" t="str">
        <f>+Plant_Information!$B$10</f>
        <v>04105-28</v>
      </c>
      <c r="Y988" s="131" t="str">
        <f>+Plant_Information!$B$11</f>
        <v>2100 CENTRAL FURNACE ROAD</v>
      </c>
      <c r="Z988" s="131" t="str">
        <f>+Plant_Information!$B$12</f>
        <v>CLEVELAND, OH, 44115</v>
      </c>
      <c r="AA988" s="131" t="str">
        <f>+Plant_Information!$B$13</f>
        <v>12</v>
      </c>
      <c r="AB988" s="131" t="str">
        <f>+Plant_Information!$B$14</f>
        <v>CUY</v>
      </c>
      <c r="AC988" s="70"/>
    </row>
    <row r="989" spans="17:29" x14ac:dyDescent="0.2">
      <c r="Q989" t="str">
        <f>Plant_Information!$B$6</f>
        <v>(INSERT VENDOR NAME HERE)</v>
      </c>
      <c r="R989" t="str">
        <f>'HAULING RATES- ODOT Locations'!$A$171</f>
        <v>District 9</v>
      </c>
      <c r="S989" t="str">
        <f>'HAULING RATES- ODOT Locations'!A182</f>
        <v>Lawrence</v>
      </c>
      <c r="T989" t="str">
        <f>'HAULING RATES- ODOT Locations'!B182</f>
        <v>10332 S.R. 775 Proctorville, OH 45669</v>
      </c>
      <c r="U989" t="str">
        <f>'HAULING RATES- ODOT Locations'!G$8</f>
        <v>Dump Rock</v>
      </c>
      <c r="V989" s="146">
        <f>'HAULING RATES- ODOT Locations'!G182</f>
        <v>0</v>
      </c>
      <c r="W989" s="131" t="str">
        <f>+'Aggregate, Plant Pick-up'!$C$6</f>
        <v>LAFARGE-MARBLEHEAD "OSBORNE-CLEVELAND"</v>
      </c>
      <c r="X989" s="131" t="str">
        <f>+Plant_Information!$B$10</f>
        <v>04105-28</v>
      </c>
      <c r="Y989" s="131" t="str">
        <f>+Plant_Information!$B$11</f>
        <v>2100 CENTRAL FURNACE ROAD</v>
      </c>
      <c r="Z989" s="131" t="str">
        <f>+Plant_Information!$B$12</f>
        <v>CLEVELAND, OH, 44115</v>
      </c>
      <c r="AA989" s="131" t="str">
        <f>+Plant_Information!$B$13</f>
        <v>12</v>
      </c>
      <c r="AB989" s="131" t="str">
        <f>+Plant_Information!$B$14</f>
        <v>CUY</v>
      </c>
      <c r="AC989" s="70"/>
    </row>
    <row r="990" spans="17:29" x14ac:dyDescent="0.2">
      <c r="Q990" t="str">
        <f>Plant_Information!$B$6</f>
        <v>(INSERT VENDOR NAME HERE)</v>
      </c>
      <c r="R990" t="str">
        <f>'HAULING RATES- ODOT Locations'!$A$171</f>
        <v>District 9</v>
      </c>
      <c r="S990" t="str">
        <f>'HAULING RATES- ODOT Locations'!A183</f>
        <v>Lawrence</v>
      </c>
      <c r="T990" t="str">
        <f>'HAULING RATES- ODOT Locations'!B183</f>
        <v>16979 S.R. 141 Willow Wood, OH 45696</v>
      </c>
      <c r="U990" t="str">
        <f>'HAULING RATES- ODOT Locations'!G$8</f>
        <v>Dump Rock</v>
      </c>
      <c r="V990" s="146">
        <f>'HAULING RATES- ODOT Locations'!G183</f>
        <v>0</v>
      </c>
      <c r="W990" s="131" t="str">
        <f>+'Aggregate, Plant Pick-up'!$C$6</f>
        <v>LAFARGE-MARBLEHEAD "OSBORNE-CLEVELAND"</v>
      </c>
      <c r="X990" s="131" t="str">
        <f>+Plant_Information!$B$10</f>
        <v>04105-28</v>
      </c>
      <c r="Y990" s="131" t="str">
        <f>+Plant_Information!$B$11</f>
        <v>2100 CENTRAL FURNACE ROAD</v>
      </c>
      <c r="Z990" s="131" t="str">
        <f>+Plant_Information!$B$12</f>
        <v>CLEVELAND, OH, 44115</v>
      </c>
      <c r="AA990" s="131" t="str">
        <f>+Plant_Information!$B$13</f>
        <v>12</v>
      </c>
      <c r="AB990" s="131" t="str">
        <f>+Plant_Information!$B$14</f>
        <v>CUY</v>
      </c>
      <c r="AC990" s="70"/>
    </row>
    <row r="991" spans="17:29" x14ac:dyDescent="0.2">
      <c r="Q991" t="str">
        <f>Plant_Information!$B$6</f>
        <v>(INSERT VENDOR NAME HERE)</v>
      </c>
      <c r="R991" t="str">
        <f>'HAULING RATES- ODOT Locations'!$A$171</f>
        <v>District 9</v>
      </c>
      <c r="S991" t="str">
        <f>'HAULING RATES- ODOT Locations'!A184</f>
        <v>Pike</v>
      </c>
      <c r="T991" t="str">
        <f>'HAULING RATES- ODOT Locations'!B184</f>
        <v>5591 Wakefield Mound Rd. Piketon, OH 45661</v>
      </c>
      <c r="U991" t="str">
        <f>'HAULING RATES- ODOT Locations'!G$8</f>
        <v>Dump Rock</v>
      </c>
      <c r="V991" s="146">
        <f>'HAULING RATES- ODOT Locations'!G184</f>
        <v>0</v>
      </c>
      <c r="W991" s="131" t="str">
        <f>+'Aggregate, Plant Pick-up'!$C$6</f>
        <v>LAFARGE-MARBLEHEAD "OSBORNE-CLEVELAND"</v>
      </c>
      <c r="X991" s="131" t="str">
        <f>+Plant_Information!$B$10</f>
        <v>04105-28</v>
      </c>
      <c r="Y991" s="131" t="str">
        <f>+Plant_Information!$B$11</f>
        <v>2100 CENTRAL FURNACE ROAD</v>
      </c>
      <c r="Z991" s="131" t="str">
        <f>+Plant_Information!$B$12</f>
        <v>CLEVELAND, OH, 44115</v>
      </c>
      <c r="AA991" s="131" t="str">
        <f>+Plant_Information!$B$13</f>
        <v>12</v>
      </c>
      <c r="AB991" s="131" t="str">
        <f>+Plant_Information!$B$14</f>
        <v>CUY</v>
      </c>
      <c r="AC991" s="70"/>
    </row>
    <row r="992" spans="17:29" x14ac:dyDescent="0.2">
      <c r="Q992" t="str">
        <f>Plant_Information!$B$6</f>
        <v>(INSERT VENDOR NAME HERE)</v>
      </c>
      <c r="R992" t="str">
        <f>'HAULING RATES- ODOT Locations'!$A$171</f>
        <v>District 9</v>
      </c>
      <c r="S992" t="str">
        <f>'HAULING RATES- ODOT Locations'!A185</f>
        <v>Ross</v>
      </c>
      <c r="T992" t="str">
        <f>'HAULING RATES- ODOT Locations'!B185</f>
        <v>255 Larrick Lane Chillicothe, OH 45601</v>
      </c>
      <c r="U992" t="str">
        <f>'HAULING RATES- ODOT Locations'!G$8</f>
        <v>Dump Rock</v>
      </c>
      <c r="V992" s="146">
        <f>'HAULING RATES- ODOT Locations'!G185</f>
        <v>0</v>
      </c>
      <c r="W992" s="131" t="str">
        <f>+'Aggregate, Plant Pick-up'!$C$6</f>
        <v>LAFARGE-MARBLEHEAD "OSBORNE-CLEVELAND"</v>
      </c>
      <c r="X992" s="131" t="str">
        <f>+Plant_Information!$B$10</f>
        <v>04105-28</v>
      </c>
      <c r="Y992" s="131" t="str">
        <f>+Plant_Information!$B$11</f>
        <v>2100 CENTRAL FURNACE ROAD</v>
      </c>
      <c r="Z992" s="131" t="str">
        <f>+Plant_Information!$B$12</f>
        <v>CLEVELAND, OH, 44115</v>
      </c>
      <c r="AA992" s="131" t="str">
        <f>+Plant_Information!$B$13</f>
        <v>12</v>
      </c>
      <c r="AB992" s="131" t="str">
        <f>+Plant_Information!$B$14</f>
        <v>CUY</v>
      </c>
      <c r="AC992" s="70"/>
    </row>
    <row r="993" spans="17:29" x14ac:dyDescent="0.2">
      <c r="Q993" t="str">
        <f>Plant_Information!$B$6</f>
        <v>(INSERT VENDOR NAME HERE)</v>
      </c>
      <c r="R993" t="str">
        <f>'HAULING RATES- ODOT Locations'!$A$171</f>
        <v>District 9</v>
      </c>
      <c r="S993" t="str">
        <f>'HAULING RATES- ODOT Locations'!A186</f>
        <v>Scioto</v>
      </c>
      <c r="T993" t="str">
        <f>'HAULING RATES- ODOT Locations'!B186</f>
        <v>9187 U.S. 23 Lucasville, OH 45648</v>
      </c>
      <c r="U993" t="str">
        <f>'HAULING RATES- ODOT Locations'!G$8</f>
        <v>Dump Rock</v>
      </c>
      <c r="V993" s="146">
        <f>'HAULING RATES- ODOT Locations'!G186</f>
        <v>0</v>
      </c>
      <c r="W993" s="131" t="str">
        <f>+'Aggregate, Plant Pick-up'!$C$6</f>
        <v>LAFARGE-MARBLEHEAD "OSBORNE-CLEVELAND"</v>
      </c>
      <c r="X993" s="131" t="str">
        <f>+Plant_Information!$B$10</f>
        <v>04105-28</v>
      </c>
      <c r="Y993" s="131" t="str">
        <f>+Plant_Information!$B$11</f>
        <v>2100 CENTRAL FURNACE ROAD</v>
      </c>
      <c r="Z993" s="131" t="str">
        <f>+Plant_Information!$B$12</f>
        <v>CLEVELAND, OH, 44115</v>
      </c>
      <c r="AA993" s="131" t="str">
        <f>+Plant_Information!$B$13</f>
        <v>12</v>
      </c>
      <c r="AB993" s="131" t="str">
        <f>+Plant_Information!$B$14</f>
        <v>CUY</v>
      </c>
      <c r="AC993" s="70"/>
    </row>
    <row r="994" spans="17:29" x14ac:dyDescent="0.2">
      <c r="Q994" t="str">
        <f>Plant_Information!$B$6</f>
        <v>(INSERT VENDOR NAME HERE)</v>
      </c>
      <c r="R994" t="str">
        <f>'HAULING RATES- ODOT Locations'!$A$171</f>
        <v>District 9</v>
      </c>
      <c r="S994" t="str">
        <f>'HAULING RATES- ODOT Locations'!A187</f>
        <v>Scioto</v>
      </c>
      <c r="T994" t="str">
        <f>'HAULING RATES- ODOT Locations'!B187</f>
        <v>14 Hayport Rd. Wheelersburg, OH 45694</v>
      </c>
      <c r="U994" t="str">
        <f>'HAULING RATES- ODOT Locations'!G$8</f>
        <v>Dump Rock</v>
      </c>
      <c r="V994" s="146">
        <f>'HAULING RATES- ODOT Locations'!G187</f>
        <v>0</v>
      </c>
      <c r="W994" s="131" t="str">
        <f>+'Aggregate, Plant Pick-up'!$C$6</f>
        <v>LAFARGE-MARBLEHEAD "OSBORNE-CLEVELAND"</v>
      </c>
      <c r="X994" s="131" t="str">
        <f>+Plant_Information!$B$10</f>
        <v>04105-28</v>
      </c>
      <c r="Y994" s="131" t="str">
        <f>+Plant_Information!$B$11</f>
        <v>2100 CENTRAL FURNACE ROAD</v>
      </c>
      <c r="Z994" s="131" t="str">
        <f>+Plant_Information!$B$12</f>
        <v>CLEVELAND, OH, 44115</v>
      </c>
      <c r="AA994" s="131" t="str">
        <f>+Plant_Information!$B$13</f>
        <v>12</v>
      </c>
      <c r="AB994" s="131" t="str">
        <f>+Plant_Information!$B$14</f>
        <v>CUY</v>
      </c>
      <c r="AC994" s="70"/>
    </row>
    <row r="995" spans="17:29" x14ac:dyDescent="0.2">
      <c r="Q995" t="str">
        <f>Plant_Information!$B$6</f>
        <v>(INSERT VENDOR NAME HERE)</v>
      </c>
      <c r="R995" t="str">
        <f>'HAULING RATES- ODOT Locations'!$A$188</f>
        <v>District 10</v>
      </c>
      <c r="S995" t="str">
        <f>'HAULING RATES- ODOT Locations'!A191</f>
        <v>Athens</v>
      </c>
      <c r="T995" t="str">
        <f>'HAULING RATES- ODOT Locations'!B191</f>
        <v>700 West Union St. (SR 56), Athens, OH 45701</v>
      </c>
      <c r="U995" t="str">
        <f>'HAULING RATES- ODOT Locations'!G$8</f>
        <v>Dump Rock</v>
      </c>
      <c r="V995" s="146">
        <f>'HAULING RATES- ODOT Locations'!G191</f>
        <v>0</v>
      </c>
      <c r="W995" s="131" t="str">
        <f>+'Aggregate, Plant Pick-up'!$C$6</f>
        <v>LAFARGE-MARBLEHEAD "OSBORNE-CLEVELAND"</v>
      </c>
      <c r="X995" s="131" t="str">
        <f>+Plant_Information!$B$10</f>
        <v>04105-28</v>
      </c>
      <c r="Y995" s="131" t="str">
        <f>+Plant_Information!$B$11</f>
        <v>2100 CENTRAL FURNACE ROAD</v>
      </c>
      <c r="Z995" s="131" t="str">
        <f>+Plant_Information!$B$12</f>
        <v>CLEVELAND, OH, 44115</v>
      </c>
      <c r="AA995" s="131" t="str">
        <f>+Plant_Information!$B$13</f>
        <v>12</v>
      </c>
      <c r="AB995" s="131" t="str">
        <f>+Plant_Information!$B$14</f>
        <v>CUY</v>
      </c>
      <c r="AC995" s="70"/>
    </row>
    <row r="996" spans="17:29" x14ac:dyDescent="0.2">
      <c r="Q996" t="str">
        <f>Plant_Information!$B$6</f>
        <v>(INSERT VENDOR NAME HERE)</v>
      </c>
      <c r="R996" t="str">
        <f>'HAULING RATES- ODOT Locations'!$A$188</f>
        <v>District 10</v>
      </c>
      <c r="S996" t="str">
        <f>'HAULING RATES- ODOT Locations'!A192</f>
        <v>Athens</v>
      </c>
      <c r="T996" t="str">
        <f>'HAULING RATES- ODOT Locations'!B192</f>
        <v>8411 State Route 78, Glouster, OH 45732</v>
      </c>
      <c r="U996" t="str">
        <f>'HAULING RATES- ODOT Locations'!G$8</f>
        <v>Dump Rock</v>
      </c>
      <c r="V996" s="146">
        <f>'HAULING RATES- ODOT Locations'!G192</f>
        <v>0</v>
      </c>
      <c r="W996" s="131" t="str">
        <f>+'Aggregate, Plant Pick-up'!$C$6</f>
        <v>LAFARGE-MARBLEHEAD "OSBORNE-CLEVELAND"</v>
      </c>
      <c r="X996" s="131" t="str">
        <f>+Plant_Information!$B$10</f>
        <v>04105-28</v>
      </c>
      <c r="Y996" s="131" t="str">
        <f>+Plant_Information!$B$11</f>
        <v>2100 CENTRAL FURNACE ROAD</v>
      </c>
      <c r="Z996" s="131" t="str">
        <f>+Plant_Information!$B$12</f>
        <v>CLEVELAND, OH, 44115</v>
      </c>
      <c r="AA996" s="131" t="str">
        <f>+Plant_Information!$B$13</f>
        <v>12</v>
      </c>
      <c r="AB996" s="131" t="str">
        <f>+Plant_Information!$B$14</f>
        <v>CUY</v>
      </c>
      <c r="AC996" s="70"/>
    </row>
    <row r="997" spans="17:29" x14ac:dyDescent="0.2">
      <c r="Q997" t="str">
        <f>Plant_Information!$B$6</f>
        <v>(INSERT VENDOR NAME HERE)</v>
      </c>
      <c r="R997" t="str">
        <f>'HAULING RATES- ODOT Locations'!$A$188</f>
        <v>District 10</v>
      </c>
      <c r="S997" t="str">
        <f>'HAULING RATES- ODOT Locations'!A193</f>
        <v>Gallia</v>
      </c>
      <c r="T997" t="str">
        <f>'HAULING RATES- ODOT Locations'!B193</f>
        <v>2397 Jackson Pike (Jct. US 35 &amp; SR 160), Bidwell, OH 45614</v>
      </c>
      <c r="U997" t="str">
        <f>'HAULING RATES- ODOT Locations'!G$8</f>
        <v>Dump Rock</v>
      </c>
      <c r="V997" s="146">
        <f>'HAULING RATES- ODOT Locations'!G193</f>
        <v>0</v>
      </c>
      <c r="W997" s="131" t="str">
        <f>+'Aggregate, Plant Pick-up'!$C$6</f>
        <v>LAFARGE-MARBLEHEAD "OSBORNE-CLEVELAND"</v>
      </c>
      <c r="X997" s="131" t="str">
        <f>+Plant_Information!$B$10</f>
        <v>04105-28</v>
      </c>
      <c r="Y997" s="131" t="str">
        <f>+Plant_Information!$B$11</f>
        <v>2100 CENTRAL FURNACE ROAD</v>
      </c>
      <c r="Z997" s="131" t="str">
        <f>+Plant_Information!$B$12</f>
        <v>CLEVELAND, OH, 44115</v>
      </c>
      <c r="AA997" s="131" t="str">
        <f>+Plant_Information!$B$13</f>
        <v>12</v>
      </c>
      <c r="AB997" s="131" t="str">
        <f>+Plant_Information!$B$14</f>
        <v>CUY</v>
      </c>
      <c r="AC997" s="70"/>
    </row>
    <row r="998" spans="17:29" x14ac:dyDescent="0.2">
      <c r="Q998" t="str">
        <f>Plant_Information!$B$6</f>
        <v>(INSERT VENDOR NAME HERE)</v>
      </c>
      <c r="R998" t="str">
        <f>'HAULING RATES- ODOT Locations'!$A$188</f>
        <v>District 10</v>
      </c>
      <c r="S998" t="str">
        <f>'HAULING RATES- ODOT Locations'!A194</f>
        <v>Hocking</v>
      </c>
      <c r="T998" t="str">
        <f>'HAULING RATES- ODOT Locations'!B194</f>
        <v>13176 State Route 664 South, Logan, OH 43138</v>
      </c>
      <c r="U998" t="str">
        <f>'HAULING RATES- ODOT Locations'!G$8</f>
        <v>Dump Rock</v>
      </c>
      <c r="V998" s="146">
        <f>'HAULING RATES- ODOT Locations'!G194</f>
        <v>0</v>
      </c>
      <c r="W998" s="131" t="str">
        <f>+'Aggregate, Plant Pick-up'!$C$6</f>
        <v>LAFARGE-MARBLEHEAD "OSBORNE-CLEVELAND"</v>
      </c>
      <c r="X998" s="131" t="str">
        <f>+Plant_Information!$B$10</f>
        <v>04105-28</v>
      </c>
      <c r="Y998" s="131" t="str">
        <f>+Plant_Information!$B$11</f>
        <v>2100 CENTRAL FURNACE ROAD</v>
      </c>
      <c r="Z998" s="131" t="str">
        <f>+Plant_Information!$B$12</f>
        <v>CLEVELAND, OH, 44115</v>
      </c>
      <c r="AA998" s="131" t="str">
        <f>+Plant_Information!$B$13</f>
        <v>12</v>
      </c>
      <c r="AB998" s="131" t="str">
        <f>+Plant_Information!$B$14</f>
        <v>CUY</v>
      </c>
      <c r="AC998" s="70"/>
    </row>
    <row r="999" spans="17:29" x14ac:dyDescent="0.2">
      <c r="Q999" t="str">
        <f>Plant_Information!$B$6</f>
        <v>(INSERT VENDOR NAME HERE)</v>
      </c>
      <c r="R999" t="str">
        <f>'HAULING RATES- ODOT Locations'!$A$188</f>
        <v>District 10</v>
      </c>
      <c r="S999" t="str">
        <f>'HAULING RATES- ODOT Locations'!A195</f>
        <v>Hocking</v>
      </c>
      <c r="T999" t="str">
        <f>'HAULING RATES- ODOT Locations'!B195</f>
        <v>Laurelville OP, 16298 Pike Street, Laurelville, OH 43135</v>
      </c>
      <c r="U999" t="str">
        <f>'HAULING RATES- ODOT Locations'!G$8</f>
        <v>Dump Rock</v>
      </c>
      <c r="V999" s="146">
        <f>'HAULING RATES- ODOT Locations'!G195</f>
        <v>0</v>
      </c>
      <c r="W999" s="131" t="str">
        <f>+'Aggregate, Plant Pick-up'!$C$6</f>
        <v>LAFARGE-MARBLEHEAD "OSBORNE-CLEVELAND"</v>
      </c>
      <c r="X999" s="131" t="str">
        <f>+Plant_Information!$B$10</f>
        <v>04105-28</v>
      </c>
      <c r="Y999" s="131" t="str">
        <f>+Plant_Information!$B$11</f>
        <v>2100 CENTRAL FURNACE ROAD</v>
      </c>
      <c r="Z999" s="131" t="str">
        <f>+Plant_Information!$B$12</f>
        <v>CLEVELAND, OH, 44115</v>
      </c>
      <c r="AA999" s="131" t="str">
        <f>+Plant_Information!$B$13</f>
        <v>12</v>
      </c>
      <c r="AB999" s="131" t="str">
        <f>+Plant_Information!$B$14</f>
        <v>CUY</v>
      </c>
      <c r="AC999" s="70"/>
    </row>
    <row r="1000" spans="17:29" x14ac:dyDescent="0.2">
      <c r="Q1000" t="str">
        <f>Plant_Information!$B$6</f>
        <v>(INSERT VENDOR NAME HERE)</v>
      </c>
      <c r="R1000" t="str">
        <f>'HAULING RATES- ODOT Locations'!$A$188</f>
        <v>District 10</v>
      </c>
      <c r="S1000" t="str">
        <f>'HAULING RATES- ODOT Locations'!A196</f>
        <v>Meigs</v>
      </c>
      <c r="T1000" t="str">
        <f>'HAULING RATES- ODOT Locations'!B196</f>
        <v>Tuppers Plains OP, 42875 State Route 7, Coolville, OH 45723</v>
      </c>
      <c r="U1000" t="str">
        <f>'HAULING RATES- ODOT Locations'!G$8</f>
        <v>Dump Rock</v>
      </c>
      <c r="V1000" s="146">
        <f>'HAULING RATES- ODOT Locations'!G196</f>
        <v>0</v>
      </c>
      <c r="W1000" s="131" t="str">
        <f>+'Aggregate, Plant Pick-up'!$C$6</f>
        <v>LAFARGE-MARBLEHEAD "OSBORNE-CLEVELAND"</v>
      </c>
      <c r="X1000" s="131" t="str">
        <f>+Plant_Information!$B$10</f>
        <v>04105-28</v>
      </c>
      <c r="Y1000" s="131" t="str">
        <f>+Plant_Information!$B$11</f>
        <v>2100 CENTRAL FURNACE ROAD</v>
      </c>
      <c r="Z1000" s="131" t="str">
        <f>+Plant_Information!$B$12</f>
        <v>CLEVELAND, OH, 44115</v>
      </c>
      <c r="AA1000" s="131" t="str">
        <f>+Plant_Information!$B$13</f>
        <v>12</v>
      </c>
      <c r="AB1000" s="131" t="str">
        <f>+Plant_Information!$B$14</f>
        <v>CUY</v>
      </c>
      <c r="AC1000" s="70"/>
    </row>
    <row r="1001" spans="17:29" x14ac:dyDescent="0.2">
      <c r="Q1001" t="str">
        <f>Plant_Information!$B$6</f>
        <v>(INSERT VENDOR NAME HERE)</v>
      </c>
      <c r="R1001" t="str">
        <f>'HAULING RATES- ODOT Locations'!$A$188</f>
        <v>District 10</v>
      </c>
      <c r="S1001" t="str">
        <f>'HAULING RATES- ODOT Locations'!A197</f>
        <v>Meigs</v>
      </c>
      <c r="T1001" t="str">
        <f>'HAULING RATES- ODOT Locations'!B197</f>
        <v>34449 SR 7, Pomeroy, OH 45769</v>
      </c>
      <c r="U1001" t="str">
        <f>'HAULING RATES- ODOT Locations'!G$8</f>
        <v>Dump Rock</v>
      </c>
      <c r="V1001" s="146">
        <f>'HAULING RATES- ODOT Locations'!G197</f>
        <v>0</v>
      </c>
      <c r="W1001" s="131" t="str">
        <f>+'Aggregate, Plant Pick-up'!$C$6</f>
        <v>LAFARGE-MARBLEHEAD "OSBORNE-CLEVELAND"</v>
      </c>
      <c r="X1001" s="131" t="str">
        <f>+Plant_Information!$B$10</f>
        <v>04105-28</v>
      </c>
      <c r="Y1001" s="131" t="str">
        <f>+Plant_Information!$B$11</f>
        <v>2100 CENTRAL FURNACE ROAD</v>
      </c>
      <c r="Z1001" s="131" t="str">
        <f>+Plant_Information!$B$12</f>
        <v>CLEVELAND, OH, 44115</v>
      </c>
      <c r="AA1001" s="131" t="str">
        <f>+Plant_Information!$B$13</f>
        <v>12</v>
      </c>
      <c r="AB1001" s="131" t="str">
        <f>+Plant_Information!$B$14</f>
        <v>CUY</v>
      </c>
      <c r="AC1001" s="70"/>
    </row>
    <row r="1002" spans="17:29" x14ac:dyDescent="0.2">
      <c r="Q1002" t="str">
        <f>Plant_Information!$B$6</f>
        <v>(INSERT VENDOR NAME HERE)</v>
      </c>
      <c r="R1002" t="str">
        <f>'HAULING RATES- ODOT Locations'!$A$188</f>
        <v>District 10</v>
      </c>
      <c r="S1002" t="str">
        <f>'HAULING RATES- ODOT Locations'!A198</f>
        <v>Monroe</v>
      </c>
      <c r="T1002" t="str">
        <f>'HAULING RATES- ODOT Locations'!B198</f>
        <v>38986 State Route 7, Sardis, OH 43946</v>
      </c>
      <c r="U1002" t="str">
        <f>'HAULING RATES- ODOT Locations'!G$8</f>
        <v>Dump Rock</v>
      </c>
      <c r="V1002" s="146">
        <f>'HAULING RATES- ODOT Locations'!G198</f>
        <v>0</v>
      </c>
      <c r="W1002" s="131" t="str">
        <f>+'Aggregate, Plant Pick-up'!$C$6</f>
        <v>LAFARGE-MARBLEHEAD "OSBORNE-CLEVELAND"</v>
      </c>
      <c r="X1002" s="131" t="str">
        <f>+Plant_Information!$B$10</f>
        <v>04105-28</v>
      </c>
      <c r="Y1002" s="131" t="str">
        <f>+Plant_Information!$B$11</f>
        <v>2100 CENTRAL FURNACE ROAD</v>
      </c>
      <c r="Z1002" s="131" t="str">
        <f>+Plant_Information!$B$12</f>
        <v>CLEVELAND, OH, 44115</v>
      </c>
      <c r="AA1002" s="131" t="str">
        <f>+Plant_Information!$B$13</f>
        <v>12</v>
      </c>
      <c r="AB1002" s="131" t="str">
        <f>+Plant_Information!$B$14</f>
        <v>CUY</v>
      </c>
      <c r="AC1002" s="70"/>
    </row>
    <row r="1003" spans="17:29" x14ac:dyDescent="0.2">
      <c r="Q1003" t="str">
        <f>Plant_Information!$B$6</f>
        <v>(INSERT VENDOR NAME HERE)</v>
      </c>
      <c r="R1003" t="str">
        <f>'HAULING RATES- ODOT Locations'!$A$188</f>
        <v>District 10</v>
      </c>
      <c r="S1003" t="str">
        <f>'HAULING RATES- ODOT Locations'!A199</f>
        <v>Monroe</v>
      </c>
      <c r="T1003" t="str">
        <f>'HAULING RATES- ODOT Locations'!B199</f>
        <v>47028 SR 26, Woodsfield, OH 43793</v>
      </c>
      <c r="U1003" t="str">
        <f>'HAULING RATES- ODOT Locations'!G$8</f>
        <v>Dump Rock</v>
      </c>
      <c r="V1003" s="146">
        <f>'HAULING RATES- ODOT Locations'!G199</f>
        <v>0</v>
      </c>
      <c r="W1003" s="131" t="str">
        <f>+'Aggregate, Plant Pick-up'!$C$6</f>
        <v>LAFARGE-MARBLEHEAD "OSBORNE-CLEVELAND"</v>
      </c>
      <c r="X1003" s="131" t="str">
        <f>+Plant_Information!$B$10</f>
        <v>04105-28</v>
      </c>
      <c r="Y1003" s="131" t="str">
        <f>+Plant_Information!$B$11</f>
        <v>2100 CENTRAL FURNACE ROAD</v>
      </c>
      <c r="Z1003" s="131" t="str">
        <f>+Plant_Information!$B$12</f>
        <v>CLEVELAND, OH, 44115</v>
      </c>
      <c r="AA1003" s="131" t="str">
        <f>+Plant_Information!$B$13</f>
        <v>12</v>
      </c>
      <c r="AB1003" s="131" t="str">
        <f>+Plant_Information!$B$14</f>
        <v>CUY</v>
      </c>
      <c r="AC1003" s="70"/>
    </row>
    <row r="1004" spans="17:29" x14ac:dyDescent="0.2">
      <c r="Q1004" t="str">
        <f>Plant_Information!$B$6</f>
        <v>(INSERT VENDOR NAME HERE)</v>
      </c>
      <c r="R1004" t="str">
        <f>'HAULING RATES- ODOT Locations'!$A$188</f>
        <v>District 10</v>
      </c>
      <c r="S1004" t="str">
        <f>'HAULING RATES- ODOT Locations'!A200</f>
        <v>Morgan</v>
      </c>
      <c r="T1004" t="str">
        <f>'HAULING RATES- ODOT Locations'!B200</f>
        <v>4205 Monastery Rd., McConnelsville, OH 43756</v>
      </c>
      <c r="U1004" t="str">
        <f>'HAULING RATES- ODOT Locations'!G$8</f>
        <v>Dump Rock</v>
      </c>
      <c r="V1004" s="146">
        <f>'HAULING RATES- ODOT Locations'!G200</f>
        <v>0</v>
      </c>
      <c r="W1004" s="131" t="str">
        <f>+'Aggregate, Plant Pick-up'!$C$6</f>
        <v>LAFARGE-MARBLEHEAD "OSBORNE-CLEVELAND"</v>
      </c>
      <c r="X1004" s="131" t="str">
        <f>+Plant_Information!$B$10</f>
        <v>04105-28</v>
      </c>
      <c r="Y1004" s="131" t="str">
        <f>+Plant_Information!$B$11</f>
        <v>2100 CENTRAL FURNACE ROAD</v>
      </c>
      <c r="Z1004" s="131" t="str">
        <f>+Plant_Information!$B$12</f>
        <v>CLEVELAND, OH, 44115</v>
      </c>
      <c r="AA1004" s="131" t="str">
        <f>+Plant_Information!$B$13</f>
        <v>12</v>
      </c>
      <c r="AB1004" s="131" t="str">
        <f>+Plant_Information!$B$14</f>
        <v>CUY</v>
      </c>
      <c r="AC1004" s="70"/>
    </row>
    <row r="1005" spans="17:29" x14ac:dyDescent="0.2">
      <c r="Q1005" t="str">
        <f>Plant_Information!$B$6</f>
        <v>(INSERT VENDOR NAME HERE)</v>
      </c>
      <c r="R1005" t="str">
        <f>'HAULING RATES- ODOT Locations'!$A$188</f>
        <v>District 10</v>
      </c>
      <c r="S1005" t="str">
        <f>'HAULING RATES- ODOT Locations'!A201</f>
        <v>Noble</v>
      </c>
      <c r="T1005" t="str">
        <f>'HAULING RATES- ODOT Locations'!B201</f>
        <v>17229 Hunkadora Road, Caldwell, OH 43724</v>
      </c>
      <c r="U1005" t="str">
        <f>'HAULING RATES- ODOT Locations'!G$8</f>
        <v>Dump Rock</v>
      </c>
      <c r="V1005" s="146">
        <f>'HAULING RATES- ODOT Locations'!G201</f>
        <v>0</v>
      </c>
      <c r="W1005" s="131" t="str">
        <f>+'Aggregate, Plant Pick-up'!$C$6</f>
        <v>LAFARGE-MARBLEHEAD "OSBORNE-CLEVELAND"</v>
      </c>
      <c r="X1005" s="131" t="str">
        <f>+Plant_Information!$B$10</f>
        <v>04105-28</v>
      </c>
      <c r="Y1005" s="131" t="str">
        <f>+Plant_Information!$B$11</f>
        <v>2100 CENTRAL FURNACE ROAD</v>
      </c>
      <c r="Z1005" s="131" t="str">
        <f>+Plant_Information!$B$12</f>
        <v>CLEVELAND, OH, 44115</v>
      </c>
      <c r="AA1005" s="131" t="str">
        <f>+Plant_Information!$B$13</f>
        <v>12</v>
      </c>
      <c r="AB1005" s="131" t="str">
        <f>+Plant_Information!$B$14</f>
        <v>CUY</v>
      </c>
      <c r="AC1005" s="70"/>
    </row>
    <row r="1006" spans="17:29" x14ac:dyDescent="0.2">
      <c r="Q1006" t="str">
        <f>Plant_Information!$B$6</f>
        <v>(INSERT VENDOR NAME HERE)</v>
      </c>
      <c r="R1006" t="str">
        <f>'HAULING RATES- ODOT Locations'!$A$188</f>
        <v>District 10</v>
      </c>
      <c r="S1006" t="str">
        <f>'HAULING RATES- ODOT Locations'!A202</f>
        <v>Noble</v>
      </c>
      <c r="T1006" t="str">
        <f>'HAULING RATES- ODOT Locations'!B202</f>
        <v>48030 Outpost Road, Caldwell, OH 43724</v>
      </c>
      <c r="U1006" t="str">
        <f>'HAULING RATES- ODOT Locations'!G$8</f>
        <v>Dump Rock</v>
      </c>
      <c r="V1006" s="146">
        <f>'HAULING RATES- ODOT Locations'!G202</f>
        <v>0</v>
      </c>
      <c r="W1006" s="131" t="str">
        <f>+'Aggregate, Plant Pick-up'!$C$6</f>
        <v>LAFARGE-MARBLEHEAD "OSBORNE-CLEVELAND"</v>
      </c>
      <c r="X1006" s="131" t="str">
        <f>+Plant_Information!$B$10</f>
        <v>04105-28</v>
      </c>
      <c r="Y1006" s="131" t="str">
        <f>+Plant_Information!$B$11</f>
        <v>2100 CENTRAL FURNACE ROAD</v>
      </c>
      <c r="Z1006" s="131" t="str">
        <f>+Plant_Information!$B$12</f>
        <v>CLEVELAND, OH, 44115</v>
      </c>
      <c r="AA1006" s="131" t="str">
        <f>+Plant_Information!$B$13</f>
        <v>12</v>
      </c>
      <c r="AB1006" s="131" t="str">
        <f>+Plant_Information!$B$14</f>
        <v>CUY</v>
      </c>
      <c r="AC1006" s="70"/>
    </row>
    <row r="1007" spans="17:29" x14ac:dyDescent="0.2">
      <c r="Q1007" t="str">
        <f>Plant_Information!$B$6</f>
        <v>(INSERT VENDOR NAME HERE)</v>
      </c>
      <c r="R1007" t="str">
        <f>'HAULING RATES- ODOT Locations'!$A$188</f>
        <v>District 10</v>
      </c>
      <c r="S1007" t="str">
        <f>'HAULING RATES- ODOT Locations'!A203</f>
        <v>Vinton</v>
      </c>
      <c r="T1007" t="str">
        <f>'HAULING RATES- ODOT Locations'!B203</f>
        <v>30931 State Route 93, McArthur, OH 45651</v>
      </c>
      <c r="U1007" t="str">
        <f>'HAULING RATES- ODOT Locations'!G$8</f>
        <v>Dump Rock</v>
      </c>
      <c r="V1007" s="146">
        <f>'HAULING RATES- ODOT Locations'!G203</f>
        <v>0</v>
      </c>
      <c r="W1007" s="131" t="str">
        <f>+'Aggregate, Plant Pick-up'!$C$6</f>
        <v>LAFARGE-MARBLEHEAD "OSBORNE-CLEVELAND"</v>
      </c>
      <c r="X1007" s="131" t="str">
        <f>+Plant_Information!$B$10</f>
        <v>04105-28</v>
      </c>
      <c r="Y1007" s="131" t="str">
        <f>+Plant_Information!$B$11</f>
        <v>2100 CENTRAL FURNACE ROAD</v>
      </c>
      <c r="Z1007" s="131" t="str">
        <f>+Plant_Information!$B$12</f>
        <v>CLEVELAND, OH, 44115</v>
      </c>
      <c r="AA1007" s="131" t="str">
        <f>+Plant_Information!$B$13</f>
        <v>12</v>
      </c>
      <c r="AB1007" s="131" t="str">
        <f>+Plant_Information!$B$14</f>
        <v>CUY</v>
      </c>
      <c r="AC1007" s="70"/>
    </row>
    <row r="1008" spans="17:29" x14ac:dyDescent="0.2">
      <c r="Q1008" t="str">
        <f>Plant_Information!$B$6</f>
        <v>(INSERT VENDOR NAME HERE)</v>
      </c>
      <c r="R1008" t="str">
        <f>'HAULING RATES- ODOT Locations'!$A$188</f>
        <v>District 10</v>
      </c>
      <c r="S1008" t="str">
        <f>'HAULING RATES- ODOT Locations'!A204</f>
        <v>Vinton</v>
      </c>
      <c r="T1008" t="str">
        <f>'HAULING RATES- ODOT Locations'!B204</f>
        <v>43140 State Route 160, Wilkesville, OH 45695</v>
      </c>
      <c r="U1008" t="str">
        <f>'HAULING RATES- ODOT Locations'!G$8</f>
        <v>Dump Rock</v>
      </c>
      <c r="V1008" s="146">
        <f>'HAULING RATES- ODOT Locations'!G204</f>
        <v>0</v>
      </c>
      <c r="W1008" s="131" t="str">
        <f>+'Aggregate, Plant Pick-up'!$C$6</f>
        <v>LAFARGE-MARBLEHEAD "OSBORNE-CLEVELAND"</v>
      </c>
      <c r="X1008" s="131" t="str">
        <f>+Plant_Information!$B$10</f>
        <v>04105-28</v>
      </c>
      <c r="Y1008" s="131" t="str">
        <f>+Plant_Information!$B$11</f>
        <v>2100 CENTRAL FURNACE ROAD</v>
      </c>
      <c r="Z1008" s="131" t="str">
        <f>+Plant_Information!$B$12</f>
        <v>CLEVELAND, OH, 44115</v>
      </c>
      <c r="AA1008" s="131" t="str">
        <f>+Plant_Information!$B$13</f>
        <v>12</v>
      </c>
      <c r="AB1008" s="131" t="str">
        <f>+Plant_Information!$B$14</f>
        <v>CUY</v>
      </c>
      <c r="AC1008" s="70"/>
    </row>
    <row r="1009" spans="17:29" x14ac:dyDescent="0.2">
      <c r="Q1009" t="str">
        <f>Plant_Information!$B$6</f>
        <v>(INSERT VENDOR NAME HERE)</v>
      </c>
      <c r="R1009" t="str">
        <f>'HAULING RATES- ODOT Locations'!$A$188</f>
        <v>District 10</v>
      </c>
      <c r="S1009" t="str">
        <f>'HAULING RATES- ODOT Locations'!A205</f>
        <v>Washington</v>
      </c>
      <c r="T1009" t="str">
        <f>'HAULING RATES- ODOT Locations'!B205</f>
        <v>1650 Greene St. (SR 26), Marietta, OH 45750</v>
      </c>
      <c r="U1009" t="str">
        <f>'HAULING RATES- ODOT Locations'!G$8</f>
        <v>Dump Rock</v>
      </c>
      <c r="V1009" s="146">
        <f>'HAULING RATES- ODOT Locations'!G205</f>
        <v>0</v>
      </c>
      <c r="W1009" s="131" t="str">
        <f>+'Aggregate, Plant Pick-up'!$C$6</f>
        <v>LAFARGE-MARBLEHEAD "OSBORNE-CLEVELAND"</v>
      </c>
      <c r="X1009" s="131" t="str">
        <f>+Plant_Information!$B$10</f>
        <v>04105-28</v>
      </c>
      <c r="Y1009" s="131" t="str">
        <f>+Plant_Information!$B$11</f>
        <v>2100 CENTRAL FURNACE ROAD</v>
      </c>
      <c r="Z1009" s="131" t="str">
        <f>+Plant_Information!$B$12</f>
        <v>CLEVELAND, OH, 44115</v>
      </c>
      <c r="AA1009" s="131" t="str">
        <f>+Plant_Information!$B$13</f>
        <v>12</v>
      </c>
      <c r="AB1009" s="131" t="str">
        <f>+Plant_Information!$B$14</f>
        <v>CUY</v>
      </c>
      <c r="AC1009" s="70"/>
    </row>
    <row r="1010" spans="17:29" x14ac:dyDescent="0.2">
      <c r="Q1010" t="str">
        <f>Plant_Information!$B$6</f>
        <v>(INSERT VENDOR NAME HERE)</v>
      </c>
      <c r="R1010" t="str">
        <f>'HAULING RATES- ODOT Locations'!$A$188</f>
        <v>District 10</v>
      </c>
      <c r="S1010" t="str">
        <f>'HAULING RATES- ODOT Locations'!A206</f>
        <v>Washington</v>
      </c>
      <c r="T1010" t="str">
        <f>'HAULING RATES- ODOT Locations'!B206</f>
        <v>2504 SR 550, Cutler, OH 45724</v>
      </c>
      <c r="U1010" t="str">
        <f>'HAULING RATES- ODOT Locations'!G$8</f>
        <v>Dump Rock</v>
      </c>
      <c r="V1010" s="146">
        <f>'HAULING RATES- ODOT Locations'!G206</f>
        <v>0</v>
      </c>
      <c r="W1010" s="131" t="str">
        <f>+'Aggregate, Plant Pick-up'!$C$6</f>
        <v>LAFARGE-MARBLEHEAD "OSBORNE-CLEVELAND"</v>
      </c>
      <c r="X1010" s="131" t="str">
        <f>+Plant_Information!$B$10</f>
        <v>04105-28</v>
      </c>
      <c r="Y1010" s="131" t="str">
        <f>+Plant_Information!$B$11</f>
        <v>2100 CENTRAL FURNACE ROAD</v>
      </c>
      <c r="Z1010" s="131" t="str">
        <f>+Plant_Information!$B$12</f>
        <v>CLEVELAND, OH, 44115</v>
      </c>
      <c r="AA1010" s="131" t="str">
        <f>+Plant_Information!$B$13</f>
        <v>12</v>
      </c>
      <c r="AB1010" s="131" t="str">
        <f>+Plant_Information!$B$14</f>
        <v>CUY</v>
      </c>
      <c r="AC1010" s="70"/>
    </row>
    <row r="1011" spans="17:29" x14ac:dyDescent="0.2">
      <c r="Q1011" t="str">
        <f>Plant_Information!$B$6</f>
        <v>(INSERT VENDOR NAME HERE)</v>
      </c>
      <c r="R1011" t="str">
        <f>'HAULING RATES- ODOT Locations'!$A$188</f>
        <v>District 10</v>
      </c>
      <c r="S1011" t="str">
        <f>'HAULING RATES- ODOT Locations'!A207</f>
        <v>Washington</v>
      </c>
      <c r="T1011" t="str">
        <f>'HAULING RATES- ODOT Locations'!B207</f>
        <v>Belpre OP, 399 SR 618, Belpre, OH 45714</v>
      </c>
      <c r="U1011" t="str">
        <f>'HAULING RATES- ODOT Locations'!G$8</f>
        <v>Dump Rock</v>
      </c>
      <c r="V1011" s="146">
        <f>'HAULING RATES- ODOT Locations'!G207</f>
        <v>0</v>
      </c>
      <c r="W1011" s="131" t="str">
        <f>+'Aggregate, Plant Pick-up'!$C$6</f>
        <v>LAFARGE-MARBLEHEAD "OSBORNE-CLEVELAND"</v>
      </c>
      <c r="X1011" s="131" t="str">
        <f>+Plant_Information!$B$10</f>
        <v>04105-28</v>
      </c>
      <c r="Y1011" s="131" t="str">
        <f>+Plant_Information!$B$11</f>
        <v>2100 CENTRAL FURNACE ROAD</v>
      </c>
      <c r="Z1011" s="131" t="str">
        <f>+Plant_Information!$B$12</f>
        <v>CLEVELAND, OH, 44115</v>
      </c>
      <c r="AA1011" s="131" t="str">
        <f>+Plant_Information!$B$13</f>
        <v>12</v>
      </c>
      <c r="AB1011" s="131" t="str">
        <f>+Plant_Information!$B$14</f>
        <v>CUY</v>
      </c>
      <c r="AC1011" s="70"/>
    </row>
    <row r="1012" spans="17:29" x14ac:dyDescent="0.2">
      <c r="Q1012" t="str">
        <f>Plant_Information!$B$6</f>
        <v>(INSERT VENDOR NAME HERE)</v>
      </c>
      <c r="R1012" t="str">
        <f>'HAULING RATES- ODOT Locations'!$A$188</f>
        <v>District 10</v>
      </c>
      <c r="S1012" t="str">
        <f>'HAULING RATES- ODOT Locations'!A208</f>
        <v>Washington</v>
      </c>
      <c r="T1012" t="str">
        <f>'HAULING RATES- ODOT Locations'!B208</f>
        <v>20255 State Route 821, Dexter City, OH 45727</v>
      </c>
      <c r="U1012" t="str">
        <f>'HAULING RATES- ODOT Locations'!G$8</f>
        <v>Dump Rock</v>
      </c>
      <c r="V1012" s="146">
        <f>'HAULING RATES- ODOT Locations'!G208</f>
        <v>0</v>
      </c>
      <c r="W1012" s="131" t="str">
        <f>+'Aggregate, Plant Pick-up'!$C$6</f>
        <v>LAFARGE-MARBLEHEAD "OSBORNE-CLEVELAND"</v>
      </c>
      <c r="X1012" s="131" t="str">
        <f>+Plant_Information!$B$10</f>
        <v>04105-28</v>
      </c>
      <c r="Y1012" s="131" t="str">
        <f>+Plant_Information!$B$11</f>
        <v>2100 CENTRAL FURNACE ROAD</v>
      </c>
      <c r="Z1012" s="131" t="str">
        <f>+Plant_Information!$B$12</f>
        <v>CLEVELAND, OH, 44115</v>
      </c>
      <c r="AA1012" s="131" t="str">
        <f>+Plant_Information!$B$13</f>
        <v>12</v>
      </c>
      <c r="AB1012" s="131" t="str">
        <f>+Plant_Information!$B$14</f>
        <v>CUY</v>
      </c>
      <c r="AC1012" s="70"/>
    </row>
    <row r="1013" spans="17:29" x14ac:dyDescent="0.2">
      <c r="Q1013" t="str">
        <f>Plant_Information!$B$6</f>
        <v>(INSERT VENDOR NAME HERE)</v>
      </c>
      <c r="R1013" t="str">
        <f>'HAULING RATES- ODOT Locations'!$A$209</f>
        <v>District 11</v>
      </c>
      <c r="S1013" t="str">
        <f>'HAULING RATES- ODOT Locations'!A212</f>
        <v>Belmont</v>
      </c>
      <c r="T1013" t="str">
        <f>'HAULING RATES- ODOT Locations'!B212</f>
        <v>41061 Bond Dr., Belmont, OH 43718</v>
      </c>
      <c r="U1013" t="str">
        <f>'HAULING RATES- ODOT Locations'!G$8</f>
        <v>Dump Rock</v>
      </c>
      <c r="V1013" s="146">
        <f>'HAULING RATES- ODOT Locations'!G212</f>
        <v>0</v>
      </c>
      <c r="W1013" s="131" t="str">
        <f>+'Aggregate, Plant Pick-up'!$C$6</f>
        <v>LAFARGE-MARBLEHEAD "OSBORNE-CLEVELAND"</v>
      </c>
      <c r="X1013" s="131" t="str">
        <f>+Plant_Information!$B$10</f>
        <v>04105-28</v>
      </c>
      <c r="Y1013" s="131" t="str">
        <f>+Plant_Information!$B$11</f>
        <v>2100 CENTRAL FURNACE ROAD</v>
      </c>
      <c r="Z1013" s="131" t="str">
        <f>+Plant_Information!$B$12</f>
        <v>CLEVELAND, OH, 44115</v>
      </c>
      <c r="AA1013" s="131" t="str">
        <f>+Plant_Information!$B$13</f>
        <v>12</v>
      </c>
      <c r="AB1013" s="131" t="str">
        <f>+Plant_Information!$B$14</f>
        <v>CUY</v>
      </c>
      <c r="AC1013" s="70"/>
    </row>
    <row r="1014" spans="17:29" x14ac:dyDescent="0.2">
      <c r="Q1014" t="str">
        <f>Plant_Information!$B$6</f>
        <v>(INSERT VENDOR NAME HERE)</v>
      </c>
      <c r="R1014" t="str">
        <f>'HAULING RATES- ODOT Locations'!$A$209</f>
        <v>District 11</v>
      </c>
      <c r="S1014" t="str">
        <f>'HAULING RATES- ODOT Locations'!A213</f>
        <v>Belmont</v>
      </c>
      <c r="T1014" t="str">
        <f>'HAULING RATES- ODOT Locations'!B213</f>
        <v>49226 Wabash Ave., St. Clairsville, OH 43950</v>
      </c>
      <c r="U1014" t="str">
        <f>'HAULING RATES- ODOT Locations'!G$8</f>
        <v>Dump Rock</v>
      </c>
      <c r="V1014" s="146">
        <f>'HAULING RATES- ODOT Locations'!G213</f>
        <v>0</v>
      </c>
      <c r="W1014" s="131" t="str">
        <f>+'Aggregate, Plant Pick-up'!$C$6</f>
        <v>LAFARGE-MARBLEHEAD "OSBORNE-CLEVELAND"</v>
      </c>
      <c r="X1014" s="131" t="str">
        <f>+Plant_Information!$B$10</f>
        <v>04105-28</v>
      </c>
      <c r="Y1014" s="131" t="str">
        <f>+Plant_Information!$B$11</f>
        <v>2100 CENTRAL FURNACE ROAD</v>
      </c>
      <c r="Z1014" s="131" t="str">
        <f>+Plant_Information!$B$12</f>
        <v>CLEVELAND, OH, 44115</v>
      </c>
      <c r="AA1014" s="131" t="str">
        <f>+Plant_Information!$B$13</f>
        <v>12</v>
      </c>
      <c r="AB1014" s="131" t="str">
        <f>+Plant_Information!$B$14</f>
        <v>CUY</v>
      </c>
      <c r="AC1014" s="70"/>
    </row>
    <row r="1015" spans="17:29" x14ac:dyDescent="0.2">
      <c r="Q1015" t="str">
        <f>Plant_Information!$B$6</f>
        <v>(INSERT VENDOR NAME HERE)</v>
      </c>
      <c r="R1015" t="str">
        <f>'HAULING RATES- ODOT Locations'!$A$209</f>
        <v>District 11</v>
      </c>
      <c r="S1015" t="str">
        <f>'HAULING RATES- ODOT Locations'!A214</f>
        <v>Belmont</v>
      </c>
      <c r="T1015" t="str">
        <f>'HAULING RATES- ODOT Locations'!B214</f>
        <v>36340 W. Captina Hwy., Barnesville, OH 43713</v>
      </c>
      <c r="U1015" t="str">
        <f>'HAULING RATES- ODOT Locations'!G$8</f>
        <v>Dump Rock</v>
      </c>
      <c r="V1015" s="146">
        <f>'HAULING RATES- ODOT Locations'!G214</f>
        <v>0</v>
      </c>
      <c r="W1015" s="131" t="str">
        <f>+'Aggregate, Plant Pick-up'!$C$6</f>
        <v>LAFARGE-MARBLEHEAD "OSBORNE-CLEVELAND"</v>
      </c>
      <c r="X1015" s="131" t="str">
        <f>+Plant_Information!$B$10</f>
        <v>04105-28</v>
      </c>
      <c r="Y1015" s="131" t="str">
        <f>+Plant_Information!$B$11</f>
        <v>2100 CENTRAL FURNACE ROAD</v>
      </c>
      <c r="Z1015" s="131" t="str">
        <f>+Plant_Information!$B$12</f>
        <v>CLEVELAND, OH, 44115</v>
      </c>
      <c r="AA1015" s="131" t="str">
        <f>+Plant_Information!$B$13</f>
        <v>12</v>
      </c>
      <c r="AB1015" s="131" t="str">
        <f>+Plant_Information!$B$14</f>
        <v>CUY</v>
      </c>
      <c r="AC1015" s="70"/>
    </row>
    <row r="1016" spans="17:29" x14ac:dyDescent="0.2">
      <c r="Q1016" t="str">
        <f>Plant_Information!$B$6</f>
        <v>(INSERT VENDOR NAME HERE)</v>
      </c>
      <c r="R1016" t="str">
        <f>'HAULING RATES- ODOT Locations'!$A$209</f>
        <v>District 11</v>
      </c>
      <c r="S1016" t="str">
        <f>'HAULING RATES- ODOT Locations'!A215</f>
        <v>Belmont</v>
      </c>
      <c r="T1016" t="str">
        <f>'HAULING RATES- ODOT Locations'!B215</f>
        <v>56880 McGee Rd., Shadyside, OH 43947</v>
      </c>
      <c r="U1016" t="str">
        <f>'HAULING RATES- ODOT Locations'!G$8</f>
        <v>Dump Rock</v>
      </c>
      <c r="V1016" s="146">
        <f>'HAULING RATES- ODOT Locations'!G215</f>
        <v>0</v>
      </c>
      <c r="W1016" s="131" t="str">
        <f>+'Aggregate, Plant Pick-up'!$C$6</f>
        <v>LAFARGE-MARBLEHEAD "OSBORNE-CLEVELAND"</v>
      </c>
      <c r="X1016" s="131" t="str">
        <f>+Plant_Information!$B$10</f>
        <v>04105-28</v>
      </c>
      <c r="Y1016" s="131" t="str">
        <f>+Plant_Information!$B$11</f>
        <v>2100 CENTRAL FURNACE ROAD</v>
      </c>
      <c r="Z1016" s="131" t="str">
        <f>+Plant_Information!$B$12</f>
        <v>CLEVELAND, OH, 44115</v>
      </c>
      <c r="AA1016" s="131" t="str">
        <f>+Plant_Information!$B$13</f>
        <v>12</v>
      </c>
      <c r="AB1016" s="131" t="str">
        <f>+Plant_Information!$B$14</f>
        <v>CUY</v>
      </c>
      <c r="AC1016" s="70"/>
    </row>
    <row r="1017" spans="17:29" x14ac:dyDescent="0.2">
      <c r="Q1017" t="str">
        <f>Plant_Information!$B$6</f>
        <v>(INSERT VENDOR NAME HERE)</v>
      </c>
      <c r="R1017" t="str">
        <f>'HAULING RATES- ODOT Locations'!$A$209</f>
        <v>District 11</v>
      </c>
      <c r="S1017" t="str">
        <f>'HAULING RATES- ODOT Locations'!A216</f>
        <v>Carroll</v>
      </c>
      <c r="T1017" t="str">
        <f>'HAULING RATES- ODOT Locations'!B216</f>
        <v>258 Kensington Rd., Carrollton, OH 44615</v>
      </c>
      <c r="U1017" t="str">
        <f>'HAULING RATES- ODOT Locations'!G$8</f>
        <v>Dump Rock</v>
      </c>
      <c r="V1017" s="146">
        <f>'HAULING RATES- ODOT Locations'!G216</f>
        <v>0</v>
      </c>
      <c r="W1017" s="131" t="str">
        <f>+'Aggregate, Plant Pick-up'!$C$6</f>
        <v>LAFARGE-MARBLEHEAD "OSBORNE-CLEVELAND"</v>
      </c>
      <c r="X1017" s="131" t="str">
        <f>+Plant_Information!$B$10</f>
        <v>04105-28</v>
      </c>
      <c r="Y1017" s="131" t="str">
        <f>+Plant_Information!$B$11</f>
        <v>2100 CENTRAL FURNACE ROAD</v>
      </c>
      <c r="Z1017" s="131" t="str">
        <f>+Plant_Information!$B$12</f>
        <v>CLEVELAND, OH, 44115</v>
      </c>
      <c r="AA1017" s="131" t="str">
        <f>+Plant_Information!$B$13</f>
        <v>12</v>
      </c>
      <c r="AB1017" s="131" t="str">
        <f>+Plant_Information!$B$14</f>
        <v>CUY</v>
      </c>
      <c r="AC1017" s="70"/>
    </row>
    <row r="1018" spans="17:29" x14ac:dyDescent="0.2">
      <c r="Q1018" t="str">
        <f>Plant_Information!$B$6</f>
        <v>(INSERT VENDOR NAME HERE)</v>
      </c>
      <c r="R1018" t="str">
        <f>'HAULING RATES- ODOT Locations'!$A$209</f>
        <v>District 11</v>
      </c>
      <c r="S1018" t="str">
        <f>'HAULING RATES- ODOT Locations'!A217</f>
        <v>Columbiana</v>
      </c>
      <c r="T1018" t="str">
        <f>'HAULING RATES- ODOT Locations'!B217</f>
        <v>33606 US 30, Lisbon, OH 44432</v>
      </c>
      <c r="U1018" t="str">
        <f>'HAULING RATES- ODOT Locations'!G$8</f>
        <v>Dump Rock</v>
      </c>
      <c r="V1018" s="146">
        <f>'HAULING RATES- ODOT Locations'!G217</f>
        <v>0</v>
      </c>
      <c r="W1018" s="131" t="str">
        <f>+'Aggregate, Plant Pick-up'!$C$6</f>
        <v>LAFARGE-MARBLEHEAD "OSBORNE-CLEVELAND"</v>
      </c>
      <c r="X1018" s="131" t="str">
        <f>+Plant_Information!$B$10</f>
        <v>04105-28</v>
      </c>
      <c r="Y1018" s="131" t="str">
        <f>+Plant_Information!$B$11</f>
        <v>2100 CENTRAL FURNACE ROAD</v>
      </c>
      <c r="Z1018" s="131" t="str">
        <f>+Plant_Information!$B$12</f>
        <v>CLEVELAND, OH, 44115</v>
      </c>
      <c r="AA1018" s="131" t="str">
        <f>+Plant_Information!$B$13</f>
        <v>12</v>
      </c>
      <c r="AB1018" s="131" t="str">
        <f>+Plant_Information!$B$14</f>
        <v>CUY</v>
      </c>
      <c r="AC1018" s="70"/>
    </row>
    <row r="1019" spans="17:29" x14ac:dyDescent="0.2">
      <c r="Q1019" t="str">
        <f>Plant_Information!$B$6</f>
        <v>(INSERT VENDOR NAME HERE)</v>
      </c>
      <c r="R1019" t="str">
        <f>'HAULING RATES- ODOT Locations'!$A$209</f>
        <v>District 11</v>
      </c>
      <c r="S1019" t="str">
        <f>'HAULING RATES- ODOT Locations'!A218</f>
        <v>Columbiana</v>
      </c>
      <c r="T1019" t="str">
        <f>'HAULING RATES- ODOT Locations'!B218</f>
        <v>Apples Corners OP, 14745 Old Lincoln Hwy.,  East Liverpool, OH 43920</v>
      </c>
      <c r="U1019" t="str">
        <f>'HAULING RATES- ODOT Locations'!G$8</f>
        <v>Dump Rock</v>
      </c>
      <c r="V1019" s="146">
        <f>'HAULING RATES- ODOT Locations'!G218</f>
        <v>0</v>
      </c>
      <c r="W1019" s="131" t="str">
        <f>+'Aggregate, Plant Pick-up'!$C$6</f>
        <v>LAFARGE-MARBLEHEAD "OSBORNE-CLEVELAND"</v>
      </c>
      <c r="X1019" s="131" t="str">
        <f>+Plant_Information!$B$10</f>
        <v>04105-28</v>
      </c>
      <c r="Y1019" s="131" t="str">
        <f>+Plant_Information!$B$11</f>
        <v>2100 CENTRAL FURNACE ROAD</v>
      </c>
      <c r="Z1019" s="131" t="str">
        <f>+Plant_Information!$B$12</f>
        <v>CLEVELAND, OH, 44115</v>
      </c>
      <c r="AA1019" s="131" t="str">
        <f>+Plant_Information!$B$13</f>
        <v>12</v>
      </c>
      <c r="AB1019" s="131" t="str">
        <f>+Plant_Information!$B$14</f>
        <v>CUY</v>
      </c>
      <c r="AC1019" s="70"/>
    </row>
    <row r="1020" spans="17:29" x14ac:dyDescent="0.2">
      <c r="Q1020" t="str">
        <f>Plant_Information!$B$6</f>
        <v>(INSERT VENDOR NAME HERE)</v>
      </c>
      <c r="R1020" t="str">
        <f>'HAULING RATES- ODOT Locations'!$A$209</f>
        <v>District 11</v>
      </c>
      <c r="S1020" t="str">
        <f>'HAULING RATES- ODOT Locations'!A219</f>
        <v>Columbiana</v>
      </c>
      <c r="T1020" t="str">
        <f>'HAULING RATES- ODOT Locations'!B219</f>
        <v>Unity OP, 2099 SR 165, East Palestine, OH 44413</v>
      </c>
      <c r="U1020" t="str">
        <f>'HAULING RATES- ODOT Locations'!G$8</f>
        <v>Dump Rock</v>
      </c>
      <c r="V1020" s="146">
        <f>'HAULING RATES- ODOT Locations'!G219</f>
        <v>0</v>
      </c>
      <c r="W1020" s="131" t="str">
        <f>+'Aggregate, Plant Pick-up'!$C$6</f>
        <v>LAFARGE-MARBLEHEAD "OSBORNE-CLEVELAND"</v>
      </c>
      <c r="X1020" s="131" t="str">
        <f>+Plant_Information!$B$10</f>
        <v>04105-28</v>
      </c>
      <c r="Y1020" s="131" t="str">
        <f>+Plant_Information!$B$11</f>
        <v>2100 CENTRAL FURNACE ROAD</v>
      </c>
      <c r="Z1020" s="131" t="str">
        <f>+Plant_Information!$B$12</f>
        <v>CLEVELAND, OH, 44115</v>
      </c>
      <c r="AA1020" s="131" t="str">
        <f>+Plant_Information!$B$13</f>
        <v>12</v>
      </c>
      <c r="AB1020" s="131" t="str">
        <f>+Plant_Information!$B$14</f>
        <v>CUY</v>
      </c>
      <c r="AC1020" s="70"/>
    </row>
    <row r="1021" spans="17:29" x14ac:dyDescent="0.2">
      <c r="Q1021" t="str">
        <f>Plant_Information!$B$6</f>
        <v>(INSERT VENDOR NAME HERE)</v>
      </c>
      <c r="R1021" t="str">
        <f>'HAULING RATES- ODOT Locations'!$A$209</f>
        <v>District 11</v>
      </c>
      <c r="S1021" t="str">
        <f>'HAULING RATES- ODOT Locations'!A220</f>
        <v>Harrison</v>
      </c>
      <c r="T1021" t="str">
        <f>'HAULING RATES- ODOT Locations'!B220</f>
        <v>Harrison Co. Gar., 43041 S. Industrial Park Rd.,Cadiz, OH 43907</v>
      </c>
      <c r="U1021" t="str">
        <f>'HAULING RATES- ODOT Locations'!G$8</f>
        <v>Dump Rock</v>
      </c>
      <c r="V1021" s="146">
        <f>'HAULING RATES- ODOT Locations'!G220</f>
        <v>0</v>
      </c>
      <c r="W1021" s="131" t="str">
        <f>+'Aggregate, Plant Pick-up'!$C$6</f>
        <v>LAFARGE-MARBLEHEAD "OSBORNE-CLEVELAND"</v>
      </c>
      <c r="X1021" s="131" t="str">
        <f>+Plant_Information!$B$10</f>
        <v>04105-28</v>
      </c>
      <c r="Y1021" s="131" t="str">
        <f>+Plant_Information!$B$11</f>
        <v>2100 CENTRAL FURNACE ROAD</v>
      </c>
      <c r="Z1021" s="131" t="str">
        <f>+Plant_Information!$B$12</f>
        <v>CLEVELAND, OH, 44115</v>
      </c>
      <c r="AA1021" s="131" t="str">
        <f>+Plant_Information!$B$13</f>
        <v>12</v>
      </c>
      <c r="AB1021" s="131" t="str">
        <f>+Plant_Information!$B$14</f>
        <v>CUY</v>
      </c>
      <c r="AC1021" s="70"/>
    </row>
    <row r="1022" spans="17:29" x14ac:dyDescent="0.2">
      <c r="Q1022" s="138" t="str">
        <f>Plant_Information!$B$6</f>
        <v>(INSERT VENDOR NAME HERE)</v>
      </c>
      <c r="R1022" s="138" t="str">
        <f>'HAULING RATES- ODOT Locations'!$A$209</f>
        <v>District 11</v>
      </c>
      <c r="S1022" s="138" t="str">
        <f>'HAULING RATES- ODOT Locations'!A221</f>
        <v>Harrison</v>
      </c>
      <c r="T1022" s="138" t="str">
        <f>'HAULING RATES- ODOT Locations'!B221</f>
        <v>37201 Scio Bowerstown Rd, Scio OH 43988</v>
      </c>
      <c r="U1022" s="138" t="str">
        <f>'HAULING RATES- ODOT Locations'!G$8</f>
        <v>Dump Rock</v>
      </c>
      <c r="V1022" s="146">
        <f>'HAULING RATES- ODOT Locations'!G221</f>
        <v>0</v>
      </c>
      <c r="W1022" s="141" t="str">
        <f>+'Aggregate, Plant Pick-up'!$C$6</f>
        <v>LAFARGE-MARBLEHEAD "OSBORNE-CLEVELAND"</v>
      </c>
      <c r="X1022" s="141" t="str">
        <f>+Plant_Information!$B$10</f>
        <v>04105-28</v>
      </c>
      <c r="Y1022" s="141" t="str">
        <f>+Plant_Information!$B$11</f>
        <v>2100 CENTRAL FURNACE ROAD</v>
      </c>
      <c r="Z1022" s="141" t="str">
        <f>+Plant_Information!$B$12</f>
        <v>CLEVELAND, OH, 44115</v>
      </c>
      <c r="AA1022" s="141" t="str">
        <f>+Plant_Information!$B$13</f>
        <v>12</v>
      </c>
      <c r="AB1022" s="141" t="str">
        <f>+Plant_Information!$B$14</f>
        <v>CUY</v>
      </c>
      <c r="AC1022" s="70"/>
    </row>
    <row r="1023" spans="17:29" x14ac:dyDescent="0.2">
      <c r="Q1023" t="str">
        <f>Plant_Information!$B$6</f>
        <v>(INSERT VENDOR NAME HERE)</v>
      </c>
      <c r="R1023" t="str">
        <f>'HAULING RATES- ODOT Locations'!$A$209</f>
        <v>District 11</v>
      </c>
      <c r="S1023" t="str">
        <f>'HAULING RATES- ODOT Locations'!A222</f>
        <v>Harrison</v>
      </c>
      <c r="T1023" t="str">
        <f>'HAULING RATES- ODOT Locations'!B222</f>
        <v>76001 Smyrna Rd., Freeport, OH 43973</v>
      </c>
      <c r="U1023" t="str">
        <f>'HAULING RATES- ODOT Locations'!G$8</f>
        <v>Dump Rock</v>
      </c>
      <c r="V1023" s="146">
        <f>'HAULING RATES- ODOT Locations'!G222</f>
        <v>0</v>
      </c>
      <c r="W1023" s="131" t="str">
        <f>+'Aggregate, Plant Pick-up'!$C$6</f>
        <v>LAFARGE-MARBLEHEAD "OSBORNE-CLEVELAND"</v>
      </c>
      <c r="X1023" s="131" t="str">
        <f>+Plant_Information!$B$10</f>
        <v>04105-28</v>
      </c>
      <c r="Y1023" s="131" t="str">
        <f>+Plant_Information!$B$11</f>
        <v>2100 CENTRAL FURNACE ROAD</v>
      </c>
      <c r="Z1023" s="131" t="str">
        <f>+Plant_Information!$B$12</f>
        <v>CLEVELAND, OH, 44115</v>
      </c>
      <c r="AA1023" s="131" t="str">
        <f>+Plant_Information!$B$13</f>
        <v>12</v>
      </c>
      <c r="AB1023" s="131" t="str">
        <f>+Plant_Information!$B$14</f>
        <v>CUY</v>
      </c>
      <c r="AC1023" s="70"/>
    </row>
    <row r="1024" spans="17:29" x14ac:dyDescent="0.2">
      <c r="Q1024" t="str">
        <f>Plant_Information!$B$6</f>
        <v>(INSERT VENDOR NAME HERE)</v>
      </c>
      <c r="R1024" t="str">
        <f>'HAULING RATES- ODOT Locations'!$A$209</f>
        <v>District 11</v>
      </c>
      <c r="S1024" t="str">
        <f>'HAULING RATES- ODOT Locations'!A223</f>
        <v>Holmes</v>
      </c>
      <c r="T1024" t="str">
        <f>'HAULING RATES- ODOT Locations'!B223</f>
        <v>1800 S. Washington St., Millersburg, OH 44654</v>
      </c>
      <c r="U1024" t="str">
        <f>'HAULING RATES- ODOT Locations'!G$8</f>
        <v>Dump Rock</v>
      </c>
      <c r="V1024" s="146">
        <f>'HAULING RATES- ODOT Locations'!G223</f>
        <v>0</v>
      </c>
      <c r="W1024" s="131" t="str">
        <f>+'Aggregate, Plant Pick-up'!$C$6</f>
        <v>LAFARGE-MARBLEHEAD "OSBORNE-CLEVELAND"</v>
      </c>
      <c r="X1024" s="131" t="str">
        <f>+Plant_Information!$B$10</f>
        <v>04105-28</v>
      </c>
      <c r="Y1024" s="131" t="str">
        <f>+Plant_Information!$B$11</f>
        <v>2100 CENTRAL FURNACE ROAD</v>
      </c>
      <c r="Z1024" s="131" t="str">
        <f>+Plant_Information!$B$12</f>
        <v>CLEVELAND, OH, 44115</v>
      </c>
      <c r="AA1024" s="131" t="str">
        <f>+Plant_Information!$B$13</f>
        <v>12</v>
      </c>
      <c r="AB1024" s="131" t="str">
        <f>+Plant_Information!$B$14</f>
        <v>CUY</v>
      </c>
      <c r="AC1024" s="70"/>
    </row>
    <row r="1025" spans="17:29" x14ac:dyDescent="0.2">
      <c r="Q1025" t="str">
        <f>Plant_Information!$B$6</f>
        <v>(INSERT VENDOR NAME HERE)</v>
      </c>
      <c r="R1025" t="str">
        <f>'HAULING RATES- ODOT Locations'!$A$209</f>
        <v>District 11</v>
      </c>
      <c r="S1025" t="str">
        <f>'HAULING RATES- ODOT Locations'!A224</f>
        <v>Holmes</v>
      </c>
      <c r="T1025" t="str">
        <f>'HAULING RATES- ODOT Locations'!B224</f>
        <v>Nashville OP, 14785 SR 39, Lakeville, OH 44638</v>
      </c>
      <c r="U1025" t="str">
        <f>'HAULING RATES- ODOT Locations'!G$8</f>
        <v>Dump Rock</v>
      </c>
      <c r="V1025" s="146">
        <f>'HAULING RATES- ODOT Locations'!G224</f>
        <v>0</v>
      </c>
      <c r="W1025" s="131" t="str">
        <f>+'Aggregate, Plant Pick-up'!$C$6</f>
        <v>LAFARGE-MARBLEHEAD "OSBORNE-CLEVELAND"</v>
      </c>
      <c r="X1025" s="131" t="str">
        <f>+Plant_Information!$B$10</f>
        <v>04105-28</v>
      </c>
      <c r="Y1025" s="131" t="str">
        <f>+Plant_Information!$B$11</f>
        <v>2100 CENTRAL FURNACE ROAD</v>
      </c>
      <c r="Z1025" s="131" t="str">
        <f>+Plant_Information!$B$12</f>
        <v>CLEVELAND, OH, 44115</v>
      </c>
      <c r="AA1025" s="131" t="str">
        <f>+Plant_Information!$B$13</f>
        <v>12</v>
      </c>
      <c r="AB1025" s="131" t="str">
        <f>+Plant_Information!$B$14</f>
        <v>CUY</v>
      </c>
      <c r="AC1025" s="70"/>
    </row>
    <row r="1026" spans="17:29" x14ac:dyDescent="0.2">
      <c r="Q1026" t="str">
        <f>Plant_Information!$B$6</f>
        <v>(INSERT VENDOR NAME HERE)</v>
      </c>
      <c r="R1026" t="str">
        <f>'HAULING RATES- ODOT Locations'!$A$209</f>
        <v>District 11</v>
      </c>
      <c r="S1026" t="str">
        <f>'HAULING RATES- ODOT Locations'!A225</f>
        <v>Jefferson</v>
      </c>
      <c r="T1026" t="str">
        <f>'HAULING RATES- ODOT Locations'!B225</f>
        <v>575 CR 43, Steubenville, OH 43952</v>
      </c>
      <c r="U1026" t="str">
        <f>'HAULING RATES- ODOT Locations'!G$8</f>
        <v>Dump Rock</v>
      </c>
      <c r="V1026" s="146">
        <f>'HAULING RATES- ODOT Locations'!G225</f>
        <v>0</v>
      </c>
      <c r="W1026" s="131" t="str">
        <f>+'Aggregate, Plant Pick-up'!$C$6</f>
        <v>LAFARGE-MARBLEHEAD "OSBORNE-CLEVELAND"</v>
      </c>
      <c r="X1026" s="131" t="str">
        <f>+Plant_Information!$B$10</f>
        <v>04105-28</v>
      </c>
      <c r="Y1026" s="131" t="str">
        <f>+Plant_Information!$B$11</f>
        <v>2100 CENTRAL FURNACE ROAD</v>
      </c>
      <c r="Z1026" s="131" t="str">
        <f>+Plant_Information!$B$12</f>
        <v>CLEVELAND, OH, 44115</v>
      </c>
      <c r="AA1026" s="131" t="str">
        <f>+Plant_Information!$B$13</f>
        <v>12</v>
      </c>
      <c r="AB1026" s="131" t="str">
        <f>+Plant_Information!$B$14</f>
        <v>CUY</v>
      </c>
      <c r="AC1026" s="70"/>
    </row>
    <row r="1027" spans="17:29" x14ac:dyDescent="0.2">
      <c r="Q1027" t="str">
        <f>Plant_Information!$B$6</f>
        <v>(INSERT VENDOR NAME HERE)</v>
      </c>
      <c r="R1027" t="str">
        <f>'HAULING RATES- ODOT Locations'!$A$209</f>
        <v>District 11</v>
      </c>
      <c r="S1027" t="str">
        <f>'HAULING RATES- ODOT Locations'!A226</f>
        <v>Jefferson</v>
      </c>
      <c r="T1027" t="str">
        <f>'HAULING RATES- ODOT Locations'!B226</f>
        <v>940 Kingsdale Rd., Steubenville, OH 43952</v>
      </c>
      <c r="U1027" t="str">
        <f>'HAULING RATES- ODOT Locations'!G$8</f>
        <v>Dump Rock</v>
      </c>
      <c r="V1027" s="146">
        <f>'HAULING RATES- ODOT Locations'!G226</f>
        <v>0</v>
      </c>
      <c r="W1027" s="131" t="str">
        <f>+'Aggregate, Plant Pick-up'!$C$6</f>
        <v>LAFARGE-MARBLEHEAD "OSBORNE-CLEVELAND"</v>
      </c>
      <c r="X1027" s="131" t="str">
        <f>+Plant_Information!$B$10</f>
        <v>04105-28</v>
      </c>
      <c r="Y1027" s="131" t="str">
        <f>+Plant_Information!$B$11</f>
        <v>2100 CENTRAL FURNACE ROAD</v>
      </c>
      <c r="Z1027" s="131" t="str">
        <f>+Plant_Information!$B$12</f>
        <v>CLEVELAND, OH, 44115</v>
      </c>
      <c r="AA1027" s="131" t="str">
        <f>+Plant_Information!$B$13</f>
        <v>12</v>
      </c>
      <c r="AB1027" s="131" t="str">
        <f>+Plant_Information!$B$14</f>
        <v>CUY</v>
      </c>
      <c r="AC1027" s="70"/>
    </row>
    <row r="1028" spans="17:29" x14ac:dyDescent="0.2">
      <c r="Q1028" t="str">
        <f>Plant_Information!$B$6</f>
        <v>(INSERT VENDOR NAME HERE)</v>
      </c>
      <c r="R1028" t="str">
        <f>'HAULING RATES- ODOT Locations'!$A$209</f>
        <v>District 11</v>
      </c>
      <c r="S1028" t="str">
        <f>'HAULING RATES- ODOT Locations'!A227</f>
        <v>Jefferson</v>
      </c>
      <c r="T1028" t="str">
        <f>'HAULING RATES- ODOT Locations'!B227</f>
        <v>4735 State Rt. 150, Dillonvale, OH 43917</v>
      </c>
      <c r="U1028" t="str">
        <f>'HAULING RATES- ODOT Locations'!G$8</f>
        <v>Dump Rock</v>
      </c>
      <c r="V1028" s="146">
        <f>'HAULING RATES- ODOT Locations'!G227</f>
        <v>0</v>
      </c>
      <c r="W1028" s="131" t="str">
        <f>+'Aggregate, Plant Pick-up'!$C$6</f>
        <v>LAFARGE-MARBLEHEAD "OSBORNE-CLEVELAND"</v>
      </c>
      <c r="X1028" s="131" t="str">
        <f>+Plant_Information!$B$10</f>
        <v>04105-28</v>
      </c>
      <c r="Y1028" s="131" t="str">
        <f>+Plant_Information!$B$11</f>
        <v>2100 CENTRAL FURNACE ROAD</v>
      </c>
      <c r="Z1028" s="131" t="str">
        <f>+Plant_Information!$B$12</f>
        <v>CLEVELAND, OH, 44115</v>
      </c>
      <c r="AA1028" s="131" t="str">
        <f>+Plant_Information!$B$13</f>
        <v>12</v>
      </c>
      <c r="AB1028" s="131" t="str">
        <f>+Plant_Information!$B$14</f>
        <v>CUY</v>
      </c>
      <c r="AC1028" s="70"/>
    </row>
    <row r="1029" spans="17:29" x14ac:dyDescent="0.2">
      <c r="Q1029" t="str">
        <f>Plant_Information!$B$6</f>
        <v>(INSERT VENDOR NAME HERE)</v>
      </c>
      <c r="R1029" t="str">
        <f>'HAULING RATES- ODOT Locations'!$A$209</f>
        <v>District 11</v>
      </c>
      <c r="S1029" t="str">
        <f>'HAULING RATES- ODOT Locations'!A228</f>
        <v>Jefferson</v>
      </c>
      <c r="T1029" t="str">
        <f>'HAULING RATES- ODOT Locations'!B228</f>
        <v>7876 State Rt. 164, Bergholz, OH 43908</v>
      </c>
      <c r="U1029" t="str">
        <f>'HAULING RATES- ODOT Locations'!G$8</f>
        <v>Dump Rock</v>
      </c>
      <c r="V1029" s="146">
        <f>'HAULING RATES- ODOT Locations'!G228</f>
        <v>0</v>
      </c>
      <c r="W1029" s="131" t="str">
        <f>+'Aggregate, Plant Pick-up'!$C$6</f>
        <v>LAFARGE-MARBLEHEAD "OSBORNE-CLEVELAND"</v>
      </c>
      <c r="X1029" s="131" t="str">
        <f>+Plant_Information!$B$10</f>
        <v>04105-28</v>
      </c>
      <c r="Y1029" s="131" t="str">
        <f>+Plant_Information!$B$11</f>
        <v>2100 CENTRAL FURNACE ROAD</v>
      </c>
      <c r="Z1029" s="131" t="str">
        <f>+Plant_Information!$B$12</f>
        <v>CLEVELAND, OH, 44115</v>
      </c>
      <c r="AA1029" s="131" t="str">
        <f>+Plant_Information!$B$13</f>
        <v>12</v>
      </c>
      <c r="AB1029" s="131" t="str">
        <f>+Plant_Information!$B$14</f>
        <v>CUY</v>
      </c>
      <c r="AC1029" s="70"/>
    </row>
    <row r="1030" spans="17:29" x14ac:dyDescent="0.2">
      <c r="Q1030" t="str">
        <f>Plant_Information!$B$6</f>
        <v>(INSERT VENDOR NAME HERE)</v>
      </c>
      <c r="R1030" t="str">
        <f>'HAULING RATES- ODOT Locations'!$A$209</f>
        <v>District 11</v>
      </c>
      <c r="S1030" t="str">
        <f>'HAULING RATES- ODOT Locations'!A229</f>
        <v>Tuscarawas</v>
      </c>
      <c r="T1030" t="str">
        <f>'HAULING RATES- ODOT Locations'!B229</f>
        <v>384 Stonecreek Rd. SE, New Philadelphia, OH 44663</v>
      </c>
      <c r="U1030" t="str">
        <f>'HAULING RATES- ODOT Locations'!G$8</f>
        <v>Dump Rock</v>
      </c>
      <c r="V1030" s="146">
        <f>'HAULING RATES- ODOT Locations'!G229</f>
        <v>0</v>
      </c>
      <c r="W1030" s="131" t="str">
        <f>+'Aggregate, Plant Pick-up'!$C$6</f>
        <v>LAFARGE-MARBLEHEAD "OSBORNE-CLEVELAND"</v>
      </c>
      <c r="X1030" s="131" t="str">
        <f>+Plant_Information!$B$10</f>
        <v>04105-28</v>
      </c>
      <c r="Y1030" s="131" t="str">
        <f>+Plant_Information!$B$11</f>
        <v>2100 CENTRAL FURNACE ROAD</v>
      </c>
      <c r="Z1030" s="131" t="str">
        <f>+Plant_Information!$B$12</f>
        <v>CLEVELAND, OH, 44115</v>
      </c>
      <c r="AA1030" s="131" t="str">
        <f>+Plant_Information!$B$13</f>
        <v>12</v>
      </c>
      <c r="AB1030" s="131" t="str">
        <f>+Plant_Information!$B$14</f>
        <v>CUY</v>
      </c>
      <c r="AC1030" s="70"/>
    </row>
    <row r="1031" spans="17:29" x14ac:dyDescent="0.2">
      <c r="Q1031" t="str">
        <f>Plant_Information!$B$6</f>
        <v>(INSERT VENDOR NAME HERE)</v>
      </c>
      <c r="R1031" t="str">
        <f>'HAULING RATES- ODOT Locations'!$A$209</f>
        <v>District 11</v>
      </c>
      <c r="S1031" t="str">
        <f>'HAULING RATES- ODOT Locations'!A230</f>
        <v>Tuscarawas</v>
      </c>
      <c r="T1031" t="str">
        <f>'HAULING RATES- ODOT Locations'!B230</f>
        <v>1763 Dover-Zoar Rd., Bolivar, OH 44612</v>
      </c>
      <c r="U1031" t="str">
        <f>'HAULING RATES- ODOT Locations'!G$8</f>
        <v>Dump Rock</v>
      </c>
      <c r="V1031" s="146">
        <f>'HAULING RATES- ODOT Locations'!G230</f>
        <v>0</v>
      </c>
      <c r="W1031" s="131" t="str">
        <f>+'Aggregate, Plant Pick-up'!$C$6</f>
        <v>LAFARGE-MARBLEHEAD "OSBORNE-CLEVELAND"</v>
      </c>
      <c r="X1031" s="131" t="str">
        <f>+Plant_Information!$B$10</f>
        <v>04105-28</v>
      </c>
      <c r="Y1031" s="131" t="str">
        <f>+Plant_Information!$B$11</f>
        <v>2100 CENTRAL FURNACE ROAD</v>
      </c>
      <c r="Z1031" s="131" t="str">
        <f>+Plant_Information!$B$12</f>
        <v>CLEVELAND, OH, 44115</v>
      </c>
      <c r="AA1031" s="131" t="str">
        <f>+Plant_Information!$B$13</f>
        <v>12</v>
      </c>
      <c r="AB1031" s="131" t="str">
        <f>+Plant_Information!$B$14</f>
        <v>CUY</v>
      </c>
      <c r="AC1031" s="70"/>
    </row>
    <row r="1032" spans="17:29" x14ac:dyDescent="0.2">
      <c r="Q1032" t="str">
        <f>Plant_Information!$B$6</f>
        <v>(INSERT VENDOR NAME HERE)</v>
      </c>
      <c r="R1032" t="str">
        <f>'HAULING RATES- ODOT Locations'!$A$209</f>
        <v>District 11</v>
      </c>
      <c r="S1032" t="str">
        <f>'HAULING RATES- ODOT Locations'!A231</f>
        <v>Tuscarawas</v>
      </c>
      <c r="T1032" t="str">
        <f>'HAULING RATES- ODOT Locations'!B231</f>
        <v>600 N. College St., Newcomerstown, OH 43832</v>
      </c>
      <c r="U1032" t="str">
        <f>'HAULING RATES- ODOT Locations'!G$8</f>
        <v>Dump Rock</v>
      </c>
      <c r="V1032" s="146">
        <f>'HAULING RATES- ODOT Locations'!G231</f>
        <v>0</v>
      </c>
      <c r="W1032" s="131" t="str">
        <f>+'Aggregate, Plant Pick-up'!$C$6</f>
        <v>LAFARGE-MARBLEHEAD "OSBORNE-CLEVELAND"</v>
      </c>
      <c r="X1032" s="131" t="str">
        <f>+Plant_Information!$B$10</f>
        <v>04105-28</v>
      </c>
      <c r="Y1032" s="131" t="str">
        <f>+Plant_Information!$B$11</f>
        <v>2100 CENTRAL FURNACE ROAD</v>
      </c>
      <c r="Z1032" s="131" t="str">
        <f>+Plant_Information!$B$12</f>
        <v>CLEVELAND, OH, 44115</v>
      </c>
      <c r="AA1032" s="131" t="str">
        <f>+Plant_Information!$B$13</f>
        <v>12</v>
      </c>
      <c r="AB1032" s="131" t="str">
        <f>+Plant_Information!$B$14</f>
        <v>CUY</v>
      </c>
      <c r="AC1032" s="70"/>
    </row>
    <row r="1033" spans="17:29" x14ac:dyDescent="0.2">
      <c r="Q1033" t="str">
        <f>Plant_Information!$B$6</f>
        <v>(INSERT VENDOR NAME HERE)</v>
      </c>
      <c r="R1033" t="str">
        <f>'HAULING RATES- ODOT Locations'!$A$209</f>
        <v>District 11</v>
      </c>
      <c r="S1033" t="str">
        <f>'HAULING RATES- ODOT Locations'!A232</f>
        <v>Tuscarawas</v>
      </c>
      <c r="T1033" t="str">
        <f>'HAULING RATES- ODOT Locations'!B232</f>
        <v>2201 Reiser Ave. SE, New Philadelphia, OH 44663</v>
      </c>
      <c r="U1033" t="str">
        <f>'HAULING RATES- ODOT Locations'!G$8</f>
        <v>Dump Rock</v>
      </c>
      <c r="V1033" s="146">
        <f>'HAULING RATES- ODOT Locations'!G232</f>
        <v>0</v>
      </c>
      <c r="W1033" s="131" t="str">
        <f>+'Aggregate, Plant Pick-up'!$C$6</f>
        <v>LAFARGE-MARBLEHEAD "OSBORNE-CLEVELAND"</v>
      </c>
      <c r="X1033" s="131" t="str">
        <f>+Plant_Information!$B$10</f>
        <v>04105-28</v>
      </c>
      <c r="Y1033" s="131" t="str">
        <f>+Plant_Information!$B$11</f>
        <v>2100 CENTRAL FURNACE ROAD</v>
      </c>
      <c r="Z1033" s="131" t="str">
        <f>+Plant_Information!$B$12</f>
        <v>CLEVELAND, OH, 44115</v>
      </c>
      <c r="AA1033" s="131" t="str">
        <f>+Plant_Information!$B$13</f>
        <v>12</v>
      </c>
      <c r="AB1033" s="131" t="str">
        <f>+Plant_Information!$B$14</f>
        <v>CUY</v>
      </c>
      <c r="AC1033" s="70"/>
    </row>
    <row r="1034" spans="17:29" x14ac:dyDescent="0.2">
      <c r="Q1034" t="str">
        <f>Plant_Information!$B$6</f>
        <v>(INSERT VENDOR NAME HERE)</v>
      </c>
      <c r="R1034" t="str">
        <f>'HAULING RATES- ODOT Locations'!$A$233</f>
        <v>District 12</v>
      </c>
      <c r="S1034" t="str">
        <f>'HAULING RATES- ODOT Locations'!A236</f>
        <v>Cuyahoga</v>
      </c>
      <c r="T1034" t="str">
        <f>'HAULING RATES- ODOT Locations'!B236</f>
        <v>5430 Lake Ct., Cleveland, OH 44114</v>
      </c>
      <c r="U1034" t="str">
        <f>'HAULING RATES- ODOT Locations'!G$8</f>
        <v>Dump Rock</v>
      </c>
      <c r="V1034" s="146">
        <f>'HAULING RATES- ODOT Locations'!G236</f>
        <v>8.5</v>
      </c>
      <c r="W1034" s="131" t="str">
        <f>+'Aggregate, Plant Pick-up'!$C$6</f>
        <v>LAFARGE-MARBLEHEAD "OSBORNE-CLEVELAND"</v>
      </c>
      <c r="X1034" s="131" t="str">
        <f>+Plant_Information!$B$10</f>
        <v>04105-28</v>
      </c>
      <c r="Y1034" s="131" t="str">
        <f>+Plant_Information!$B$11</f>
        <v>2100 CENTRAL FURNACE ROAD</v>
      </c>
      <c r="Z1034" s="131" t="str">
        <f>+Plant_Information!$B$12</f>
        <v>CLEVELAND, OH, 44115</v>
      </c>
      <c r="AA1034" s="131" t="str">
        <f>+Plant_Information!$B$13</f>
        <v>12</v>
      </c>
      <c r="AB1034" s="131" t="str">
        <f>+Plant_Information!$B$14</f>
        <v>CUY</v>
      </c>
      <c r="AC1034" s="70"/>
    </row>
    <row r="1035" spans="17:29" x14ac:dyDescent="0.2">
      <c r="Q1035" t="str">
        <f>Plant_Information!$B$6</f>
        <v>(INSERT VENDOR NAME HERE)</v>
      </c>
      <c r="R1035" t="str">
        <f>'HAULING RATES- ODOT Locations'!$A$233</f>
        <v>District 12</v>
      </c>
      <c r="S1035" t="str">
        <f>'HAULING RATES- ODOT Locations'!A237</f>
        <v>Cuyahoga</v>
      </c>
      <c r="T1035" t="str">
        <f>'HAULING RATES- ODOT Locations'!B237</f>
        <v>5469 Old Brecksville Rd., Independence, OH 44131</v>
      </c>
      <c r="U1035" t="str">
        <f>'HAULING RATES- ODOT Locations'!G$8</f>
        <v>Dump Rock</v>
      </c>
      <c r="V1035" s="146">
        <f>'HAULING RATES- ODOT Locations'!G237</f>
        <v>9</v>
      </c>
      <c r="W1035" s="131" t="str">
        <f>+'Aggregate, Plant Pick-up'!$C$6</f>
        <v>LAFARGE-MARBLEHEAD "OSBORNE-CLEVELAND"</v>
      </c>
      <c r="X1035" s="131" t="str">
        <f>+Plant_Information!$B$10</f>
        <v>04105-28</v>
      </c>
      <c r="Y1035" s="131" t="str">
        <f>+Plant_Information!$B$11</f>
        <v>2100 CENTRAL FURNACE ROAD</v>
      </c>
      <c r="Z1035" s="131" t="str">
        <f>+Plant_Information!$B$12</f>
        <v>CLEVELAND, OH, 44115</v>
      </c>
      <c r="AA1035" s="131" t="str">
        <f>+Plant_Information!$B$13</f>
        <v>12</v>
      </c>
      <c r="AB1035" s="131" t="str">
        <f>+Plant_Information!$B$14</f>
        <v>CUY</v>
      </c>
      <c r="AC1035" s="70"/>
    </row>
    <row r="1036" spans="17:29" x14ac:dyDescent="0.2">
      <c r="Q1036" t="str">
        <f>Plant_Information!$B$6</f>
        <v>(INSERT VENDOR NAME HERE)</v>
      </c>
      <c r="R1036" t="str">
        <f>'HAULING RATES- ODOT Locations'!$A$233</f>
        <v>District 12</v>
      </c>
      <c r="S1036" t="str">
        <f>'HAULING RATES- ODOT Locations'!A238</f>
        <v>Cuyahoga</v>
      </c>
      <c r="T1036" t="str">
        <f>'HAULING RATES- ODOT Locations'!B238</f>
        <v>25500 St. Clair Ave Euclid OH 44117</v>
      </c>
      <c r="U1036" t="str">
        <f>'HAULING RATES- ODOT Locations'!G$8</f>
        <v>Dump Rock</v>
      </c>
      <c r="V1036" s="146">
        <f>'HAULING RATES- ODOT Locations'!G238</f>
        <v>10.5</v>
      </c>
      <c r="W1036" s="131" t="str">
        <f>+'Aggregate, Plant Pick-up'!$C$6</f>
        <v>LAFARGE-MARBLEHEAD "OSBORNE-CLEVELAND"</v>
      </c>
      <c r="X1036" s="131" t="str">
        <f>+Plant_Information!$B$10</f>
        <v>04105-28</v>
      </c>
      <c r="Y1036" s="131" t="str">
        <f>+Plant_Information!$B$11</f>
        <v>2100 CENTRAL FURNACE ROAD</v>
      </c>
      <c r="Z1036" s="131" t="str">
        <f>+Plant_Information!$B$12</f>
        <v>CLEVELAND, OH, 44115</v>
      </c>
      <c r="AA1036" s="131" t="str">
        <f>+Plant_Information!$B$13</f>
        <v>12</v>
      </c>
      <c r="AB1036" s="131" t="str">
        <f>+Plant_Information!$B$14</f>
        <v>CUY</v>
      </c>
      <c r="AC1036" s="70"/>
    </row>
    <row r="1037" spans="17:29" x14ac:dyDescent="0.2">
      <c r="Q1037" t="str">
        <f>Plant_Information!$B$6</f>
        <v>(INSERT VENDOR NAME HERE)</v>
      </c>
      <c r="R1037" t="str">
        <f>'HAULING RATES- ODOT Locations'!$A$233</f>
        <v>District 12</v>
      </c>
      <c r="S1037" t="str">
        <f>'HAULING RATES- ODOT Locations'!A239</f>
        <v>Cuyahoga</v>
      </c>
      <c r="T1037" t="str">
        <f>'HAULING RATES- ODOT Locations'!B239</f>
        <v>2151 W114th St. Cleveland OH 44102</v>
      </c>
      <c r="U1037" t="str">
        <f>'HAULING RATES- ODOT Locations'!G$8</f>
        <v>Dump Rock</v>
      </c>
      <c r="V1037" s="146">
        <f>'HAULING RATES- ODOT Locations'!G239</f>
        <v>9.25</v>
      </c>
      <c r="W1037" s="131" t="str">
        <f>+'Aggregate, Plant Pick-up'!$C$6</f>
        <v>LAFARGE-MARBLEHEAD "OSBORNE-CLEVELAND"</v>
      </c>
      <c r="X1037" s="131" t="str">
        <f>+Plant_Information!$B$10</f>
        <v>04105-28</v>
      </c>
      <c r="Y1037" s="131" t="str">
        <f>+Plant_Information!$B$11</f>
        <v>2100 CENTRAL FURNACE ROAD</v>
      </c>
      <c r="Z1037" s="131" t="str">
        <f>+Plant_Information!$B$12</f>
        <v>CLEVELAND, OH, 44115</v>
      </c>
      <c r="AA1037" s="131" t="str">
        <f>+Plant_Information!$B$13</f>
        <v>12</v>
      </c>
      <c r="AB1037" s="131" t="str">
        <f>+Plant_Information!$B$14</f>
        <v>CUY</v>
      </c>
      <c r="AC1037" s="70"/>
    </row>
    <row r="1038" spans="17:29" x14ac:dyDescent="0.2">
      <c r="Q1038" t="str">
        <f>Plant_Information!$B$6</f>
        <v>(INSERT VENDOR NAME HERE)</v>
      </c>
      <c r="R1038" t="str">
        <f>'HAULING RATES- ODOT Locations'!$A$233</f>
        <v>District 12</v>
      </c>
      <c r="S1038" t="str">
        <f>'HAULING RATES- ODOT Locations'!A240</f>
        <v>Cuyahoga</v>
      </c>
      <c r="T1038" t="str">
        <f>'HAULING RATES- ODOT Locations'!B240</f>
        <v>Riveredge Yard, 4900 Old Grayton Rd., Cleveland, OH 44135</v>
      </c>
      <c r="U1038" t="str">
        <f>'HAULING RATES- ODOT Locations'!G$8</f>
        <v>Dump Rock</v>
      </c>
      <c r="V1038" s="146">
        <f>'HAULING RATES- ODOT Locations'!G240</f>
        <v>10.5</v>
      </c>
      <c r="W1038" s="131" t="str">
        <f>+'Aggregate, Plant Pick-up'!$C$6</f>
        <v>LAFARGE-MARBLEHEAD "OSBORNE-CLEVELAND"</v>
      </c>
      <c r="X1038" s="131" t="str">
        <f>+Plant_Information!$B$10</f>
        <v>04105-28</v>
      </c>
      <c r="Y1038" s="131" t="str">
        <f>+Plant_Information!$B$11</f>
        <v>2100 CENTRAL FURNACE ROAD</v>
      </c>
      <c r="Z1038" s="131" t="str">
        <f>+Plant_Information!$B$12</f>
        <v>CLEVELAND, OH, 44115</v>
      </c>
      <c r="AA1038" s="131" t="str">
        <f>+Plant_Information!$B$13</f>
        <v>12</v>
      </c>
      <c r="AB1038" s="131" t="str">
        <f>+Plant_Information!$B$14</f>
        <v>CUY</v>
      </c>
      <c r="AC1038" s="70"/>
    </row>
    <row r="1039" spans="17:29" x14ac:dyDescent="0.2">
      <c r="Q1039" t="str">
        <f>Plant_Information!$B$6</f>
        <v>(INSERT VENDOR NAME HERE)</v>
      </c>
      <c r="R1039" t="str">
        <f>'HAULING RATES- ODOT Locations'!$A$233</f>
        <v>District 12</v>
      </c>
      <c r="S1039" t="str">
        <f>'HAULING RATES- ODOT Locations'!A241</f>
        <v>Cuyahoga</v>
      </c>
      <c r="T1039" t="str">
        <f>'HAULING RATES- ODOT Locations'!B241</f>
        <v>3263 E 44th Pl, Cleveland, OH 44127</v>
      </c>
      <c r="U1039" t="str">
        <f>'HAULING RATES- ODOT Locations'!G$8</f>
        <v>Dump Rock</v>
      </c>
      <c r="V1039" s="146">
        <f>'HAULING RATES- ODOT Locations'!G241</f>
        <v>8.5</v>
      </c>
      <c r="W1039" s="131" t="str">
        <f>+'Aggregate, Plant Pick-up'!$C$6</f>
        <v>LAFARGE-MARBLEHEAD "OSBORNE-CLEVELAND"</v>
      </c>
      <c r="X1039" s="131" t="str">
        <f>+Plant_Information!$B$10</f>
        <v>04105-28</v>
      </c>
      <c r="Y1039" s="131" t="str">
        <f>+Plant_Information!$B$11</f>
        <v>2100 CENTRAL FURNACE ROAD</v>
      </c>
      <c r="Z1039" s="131" t="str">
        <f>+Plant_Information!$B$12</f>
        <v>CLEVELAND, OH, 44115</v>
      </c>
      <c r="AA1039" s="131" t="str">
        <f>+Plant_Information!$B$13</f>
        <v>12</v>
      </c>
      <c r="AB1039" s="131" t="str">
        <f>+Plant_Information!$B$14</f>
        <v>CUY</v>
      </c>
      <c r="AC1039" s="70"/>
    </row>
    <row r="1040" spans="17:29" x14ac:dyDescent="0.2">
      <c r="Q1040" t="str">
        <f>Plant_Information!$B$6</f>
        <v>(INSERT VENDOR NAME HERE)</v>
      </c>
      <c r="R1040" t="str">
        <f>'HAULING RATES- ODOT Locations'!$A$233</f>
        <v>District 12</v>
      </c>
      <c r="S1040" t="str">
        <f>'HAULING RATES- ODOT Locations'!A242</f>
        <v>Cuyahoga</v>
      </c>
      <c r="T1040" t="str">
        <f>'HAULING RATES- ODOT Locations'!B242</f>
        <v>25609 Emery Rd., Warrensville Heights, OH 44128</v>
      </c>
      <c r="U1040" t="str">
        <f>'HAULING RATES- ODOT Locations'!G$8</f>
        <v>Dump Rock</v>
      </c>
      <c r="V1040" s="146">
        <f>'HAULING RATES- ODOT Locations'!G242</f>
        <v>10.25</v>
      </c>
      <c r="W1040" s="131" t="str">
        <f>+'Aggregate, Plant Pick-up'!$C$6</f>
        <v>LAFARGE-MARBLEHEAD "OSBORNE-CLEVELAND"</v>
      </c>
      <c r="X1040" s="131" t="str">
        <f>+Plant_Information!$B$10</f>
        <v>04105-28</v>
      </c>
      <c r="Y1040" s="131" t="str">
        <f>+Plant_Information!$B$11</f>
        <v>2100 CENTRAL FURNACE ROAD</v>
      </c>
      <c r="Z1040" s="131" t="str">
        <f>+Plant_Information!$B$12</f>
        <v>CLEVELAND, OH, 44115</v>
      </c>
      <c r="AA1040" s="131" t="str">
        <f>+Plant_Information!$B$13</f>
        <v>12</v>
      </c>
      <c r="AB1040" s="131" t="str">
        <f>+Plant_Information!$B$14</f>
        <v>CUY</v>
      </c>
      <c r="AC1040" s="70"/>
    </row>
    <row r="1041" spans="17:29" x14ac:dyDescent="0.2">
      <c r="Q1041" t="str">
        <f>Plant_Information!$B$6</f>
        <v>(INSERT VENDOR NAME HERE)</v>
      </c>
      <c r="R1041" t="str">
        <f>'HAULING RATES- ODOT Locations'!$A$233</f>
        <v>District 12</v>
      </c>
      <c r="S1041" t="str">
        <f>'HAULING RATES- ODOT Locations'!A243</f>
        <v>Geauga</v>
      </c>
      <c r="T1041" t="str">
        <f>'HAULING RATES- ODOT Locations'!B243</f>
        <v>13595 W. Center St.(Rt. 87), Burton, OH 44021</v>
      </c>
      <c r="U1041" t="str">
        <f>'HAULING RATES- ODOT Locations'!G$8</f>
        <v>Dump Rock</v>
      </c>
      <c r="V1041" s="146">
        <f>'HAULING RATES- ODOT Locations'!G243</f>
        <v>16.25</v>
      </c>
      <c r="W1041" s="131" t="str">
        <f>+'Aggregate, Plant Pick-up'!$C$6</f>
        <v>LAFARGE-MARBLEHEAD "OSBORNE-CLEVELAND"</v>
      </c>
      <c r="X1041" s="131" t="str">
        <f>+Plant_Information!$B$10</f>
        <v>04105-28</v>
      </c>
      <c r="Y1041" s="131" t="str">
        <f>+Plant_Information!$B$11</f>
        <v>2100 CENTRAL FURNACE ROAD</v>
      </c>
      <c r="Z1041" s="131" t="str">
        <f>+Plant_Information!$B$12</f>
        <v>CLEVELAND, OH, 44115</v>
      </c>
      <c r="AA1041" s="131" t="str">
        <f>+Plant_Information!$B$13</f>
        <v>12</v>
      </c>
      <c r="AB1041" s="131" t="str">
        <f>+Plant_Information!$B$14</f>
        <v>CUY</v>
      </c>
      <c r="AC1041" s="70"/>
    </row>
    <row r="1042" spans="17:29" x14ac:dyDescent="0.2">
      <c r="Q1042" t="str">
        <f>Plant_Information!$B$6</f>
        <v>(INSERT VENDOR NAME HERE)</v>
      </c>
      <c r="R1042" t="str">
        <f>'HAULING RATES- ODOT Locations'!$A$233</f>
        <v>District 12</v>
      </c>
      <c r="S1042" t="str">
        <f>'HAULING RATES- ODOT Locations'!A244</f>
        <v>Geauga</v>
      </c>
      <c r="T1042" t="str">
        <f>'HAULING RATES- ODOT Locations'!B244</f>
        <v>16556 G.A.R. Highway (Route 6), Montville Twp., OH 44064</v>
      </c>
      <c r="U1042" t="str">
        <f>'HAULING RATES- ODOT Locations'!G$8</f>
        <v>Dump Rock</v>
      </c>
      <c r="V1042" s="146">
        <f>'HAULING RATES- ODOT Locations'!G244</f>
        <v>16.75</v>
      </c>
      <c r="W1042" s="131" t="str">
        <f>+'Aggregate, Plant Pick-up'!$C$6</f>
        <v>LAFARGE-MARBLEHEAD "OSBORNE-CLEVELAND"</v>
      </c>
      <c r="X1042" s="131" t="str">
        <f>+Plant_Information!$B$10</f>
        <v>04105-28</v>
      </c>
      <c r="Y1042" s="131" t="str">
        <f>+Plant_Information!$B$11</f>
        <v>2100 CENTRAL FURNACE ROAD</v>
      </c>
      <c r="Z1042" s="131" t="str">
        <f>+Plant_Information!$B$12</f>
        <v>CLEVELAND, OH, 44115</v>
      </c>
      <c r="AA1042" s="131" t="str">
        <f>+Plant_Information!$B$13</f>
        <v>12</v>
      </c>
      <c r="AB1042" s="131" t="str">
        <f>+Plant_Information!$B$14</f>
        <v>CUY</v>
      </c>
      <c r="AC1042" s="70"/>
    </row>
    <row r="1043" spans="17:29" x14ac:dyDescent="0.2">
      <c r="Q1043" t="str">
        <f>Plant_Information!$B$6</f>
        <v>(INSERT VENDOR NAME HERE)</v>
      </c>
      <c r="R1043" t="str">
        <f>'HAULING RATES- ODOT Locations'!$A$233</f>
        <v>District 12</v>
      </c>
      <c r="S1043" t="str">
        <f>'HAULING RATES- ODOT Locations'!A245</f>
        <v>Geauga</v>
      </c>
      <c r="T1043" t="str">
        <f>'HAULING RATES- ODOT Locations'!B245</f>
        <v>Munson Yard, 12453 Bass Lake Rd. (Off  Route 322) Munson Twp., OH 44024</v>
      </c>
      <c r="U1043" t="str">
        <f>'HAULING RATES- ODOT Locations'!G$8</f>
        <v>Dump Rock</v>
      </c>
      <c r="V1043" s="146">
        <f>'HAULING RATES- ODOT Locations'!G245</f>
        <v>16.25</v>
      </c>
      <c r="W1043" s="131" t="str">
        <f>+'Aggregate, Plant Pick-up'!$C$6</f>
        <v>LAFARGE-MARBLEHEAD "OSBORNE-CLEVELAND"</v>
      </c>
      <c r="X1043" s="131" t="str">
        <f>+Plant_Information!$B$10</f>
        <v>04105-28</v>
      </c>
      <c r="Y1043" s="131" t="str">
        <f>+Plant_Information!$B$11</f>
        <v>2100 CENTRAL FURNACE ROAD</v>
      </c>
      <c r="Z1043" s="131" t="str">
        <f>+Plant_Information!$B$12</f>
        <v>CLEVELAND, OH, 44115</v>
      </c>
      <c r="AA1043" s="131" t="str">
        <f>+Plant_Information!$B$13</f>
        <v>12</v>
      </c>
      <c r="AB1043" s="131" t="str">
        <f>+Plant_Information!$B$14</f>
        <v>CUY</v>
      </c>
      <c r="AC1043" s="70"/>
    </row>
    <row r="1044" spans="17:29" x14ac:dyDescent="0.2">
      <c r="Q1044" t="str">
        <f>Plant_Information!$B$6</f>
        <v>(INSERT VENDOR NAME HERE)</v>
      </c>
      <c r="R1044" t="str">
        <f>'HAULING RATES- ODOT Locations'!$A$233</f>
        <v>District 12</v>
      </c>
      <c r="S1044" t="str">
        <f>'HAULING RATES- ODOT Locations'!A246</f>
        <v>Geauga</v>
      </c>
      <c r="T1044" t="str">
        <f>'HAULING RATES- ODOT Locations'!B246</f>
        <v>18186 Tavern Rd.(Route 168), Parkman Twp., OH 44080</v>
      </c>
      <c r="U1044" t="str">
        <f>'HAULING RATES- ODOT Locations'!G$8</f>
        <v>Dump Rock</v>
      </c>
      <c r="V1044" s="146">
        <f>'HAULING RATES- ODOT Locations'!G246</f>
        <v>16.75</v>
      </c>
      <c r="W1044" s="131" t="str">
        <f>+'Aggregate, Plant Pick-up'!$C$6</f>
        <v>LAFARGE-MARBLEHEAD "OSBORNE-CLEVELAND"</v>
      </c>
      <c r="X1044" s="131" t="str">
        <f>+Plant_Information!$B$10</f>
        <v>04105-28</v>
      </c>
      <c r="Y1044" s="131" t="str">
        <f>+Plant_Information!$B$11</f>
        <v>2100 CENTRAL FURNACE ROAD</v>
      </c>
      <c r="Z1044" s="131" t="str">
        <f>+Plant_Information!$B$12</f>
        <v>CLEVELAND, OH, 44115</v>
      </c>
      <c r="AA1044" s="131" t="str">
        <f>+Plant_Information!$B$13</f>
        <v>12</v>
      </c>
      <c r="AB1044" s="131" t="str">
        <f>+Plant_Information!$B$14</f>
        <v>CUY</v>
      </c>
      <c r="AC1044" s="70"/>
    </row>
    <row r="1045" spans="17:29" x14ac:dyDescent="0.2">
      <c r="Q1045" t="str">
        <f>Plant_Information!$B$6</f>
        <v>(INSERT VENDOR NAME HERE)</v>
      </c>
      <c r="R1045" t="str">
        <f>'HAULING RATES- ODOT Locations'!$A$233</f>
        <v>District 12</v>
      </c>
      <c r="S1045" t="str">
        <f>'HAULING RATES- ODOT Locations'!A247</f>
        <v>Lake</v>
      </c>
      <c r="T1045" t="str">
        <f>'HAULING RATES- ODOT Locations'!B247</f>
        <v>10 Blackbrook Rd., Painesville, OH 44077</v>
      </c>
      <c r="U1045" t="str">
        <f>'HAULING RATES- ODOT Locations'!G$8</f>
        <v>Dump Rock</v>
      </c>
      <c r="V1045" s="146">
        <f>'HAULING RATES- ODOT Locations'!G247</f>
        <v>16.25</v>
      </c>
      <c r="W1045" s="131" t="str">
        <f>+'Aggregate, Plant Pick-up'!$C$6</f>
        <v>LAFARGE-MARBLEHEAD "OSBORNE-CLEVELAND"</v>
      </c>
      <c r="X1045" s="131" t="str">
        <f>+Plant_Information!$B$10</f>
        <v>04105-28</v>
      </c>
      <c r="Y1045" s="131" t="str">
        <f>+Plant_Information!$B$11</f>
        <v>2100 CENTRAL FURNACE ROAD</v>
      </c>
      <c r="Z1045" s="131" t="str">
        <f>+Plant_Information!$B$12</f>
        <v>CLEVELAND, OH, 44115</v>
      </c>
      <c r="AA1045" s="131" t="str">
        <f>+Plant_Information!$B$13</f>
        <v>12</v>
      </c>
      <c r="AB1045" s="131" t="str">
        <f>+Plant_Information!$B$14</f>
        <v>CUY</v>
      </c>
      <c r="AC1045" s="70"/>
    </row>
    <row r="1046" spans="17:29" x14ac:dyDescent="0.2">
      <c r="Q1046" t="str">
        <f>Plant_Information!$B$6</f>
        <v>(INSERT VENDOR NAME HERE)</v>
      </c>
      <c r="R1046" t="str">
        <f>'HAULING RATES- ODOT Locations'!$A$233</f>
        <v>District 12</v>
      </c>
      <c r="S1046" t="str">
        <f>'HAULING RATES- ODOT Locations'!A248</f>
        <v>Lake</v>
      </c>
      <c r="T1046" t="str">
        <f>'HAULING RATES- ODOT Locations'!B248</f>
        <v>Unionville OP, 3210 County Line Rd., Madison Twp., OH 44057</v>
      </c>
      <c r="U1046" t="str">
        <f>'HAULING RATES- ODOT Locations'!G$8</f>
        <v>Dump Rock</v>
      </c>
      <c r="V1046" s="146">
        <f>'HAULING RATES- ODOT Locations'!G248</f>
        <v>16.25</v>
      </c>
      <c r="W1046" s="131" t="str">
        <f>+'Aggregate, Plant Pick-up'!$C$6</f>
        <v>LAFARGE-MARBLEHEAD "OSBORNE-CLEVELAND"</v>
      </c>
      <c r="X1046" s="131" t="str">
        <f>+Plant_Information!$B$10</f>
        <v>04105-28</v>
      </c>
      <c r="Y1046" s="131" t="str">
        <f>+Plant_Information!$B$11</f>
        <v>2100 CENTRAL FURNACE ROAD</v>
      </c>
      <c r="Z1046" s="131" t="str">
        <f>+Plant_Information!$B$12</f>
        <v>CLEVELAND, OH, 44115</v>
      </c>
      <c r="AA1046" s="131" t="str">
        <f>+Plant_Information!$B$13</f>
        <v>12</v>
      </c>
      <c r="AB1046" s="131" t="str">
        <f>+Plant_Information!$B$14</f>
        <v>CUY</v>
      </c>
      <c r="AC1046" s="70"/>
    </row>
    <row r="1047" spans="17:29" x14ac:dyDescent="0.2">
      <c r="Q1047" t="str">
        <f>Plant_Information!$B$6</f>
        <v>(INSERT VENDOR NAME HERE)</v>
      </c>
      <c r="R1047" t="str">
        <f>'HAULING RATES- ODOT Locations'!$A$233</f>
        <v>District 12</v>
      </c>
      <c r="S1047" t="str">
        <f>'HAULING RATES- ODOT Locations'!A249</f>
        <v>Lake</v>
      </c>
      <c r="T1047" t="str">
        <f>'HAULING RATES- ODOT Locations'!B249</f>
        <v>I-90 EB, 0.84 mi. east of SR 91, Willoughby Hills, OH 44094 (Old Weigh Scale)</v>
      </c>
      <c r="U1047" t="str">
        <f>'HAULING RATES- ODOT Locations'!G$8</f>
        <v>Dump Rock</v>
      </c>
      <c r="V1047" s="146">
        <f>'HAULING RATES- ODOT Locations'!G249</f>
        <v>14.25</v>
      </c>
      <c r="W1047" s="131" t="str">
        <f>+'Aggregate, Plant Pick-up'!$C$6</f>
        <v>LAFARGE-MARBLEHEAD "OSBORNE-CLEVELAND"</v>
      </c>
      <c r="X1047" s="131" t="str">
        <f>+Plant_Information!$B$10</f>
        <v>04105-28</v>
      </c>
      <c r="Y1047" s="131" t="str">
        <f>+Plant_Information!$B$11</f>
        <v>2100 CENTRAL FURNACE ROAD</v>
      </c>
      <c r="Z1047" s="131" t="str">
        <f>+Plant_Information!$B$12</f>
        <v>CLEVELAND, OH, 44115</v>
      </c>
      <c r="AA1047" s="131" t="str">
        <f>+Plant_Information!$B$13</f>
        <v>12</v>
      </c>
      <c r="AB1047" s="131" t="str">
        <f>+Plant_Information!$B$14</f>
        <v>CUY</v>
      </c>
      <c r="AC1047" s="70"/>
    </row>
    <row r="1048" spans="17:29" x14ac:dyDescent="0.2">
      <c r="Q1048" t="str">
        <f>Plant_Information!$B$6</f>
        <v>(INSERT VENDOR NAME HERE)</v>
      </c>
      <c r="R1048" t="str">
        <f>'HAULING RATES- ODOT Locations'!$A$233</f>
        <v>District 12</v>
      </c>
      <c r="S1048" t="str">
        <f>'HAULING RATES- ODOT Locations'!A250</f>
        <v>Lake</v>
      </c>
      <c r="T1048" t="str">
        <f>'HAULING RATES- ODOT Locations'!B250</f>
        <v>6073 Vrooman Rd., Leroy Township., OH 44077</v>
      </c>
      <c r="U1048" t="str">
        <f>'HAULING RATES- ODOT Locations'!G$8</f>
        <v>Dump Rock</v>
      </c>
      <c r="V1048" s="146">
        <f>'HAULING RATES- ODOT Locations'!G250</f>
        <v>16.25</v>
      </c>
      <c r="W1048" s="131" t="str">
        <f>+'Aggregate, Plant Pick-up'!$C$6</f>
        <v>LAFARGE-MARBLEHEAD "OSBORNE-CLEVELAND"</v>
      </c>
      <c r="X1048" s="131" t="str">
        <f>+Plant_Information!$B$10</f>
        <v>04105-28</v>
      </c>
      <c r="Y1048" s="131" t="str">
        <f>+Plant_Information!$B$11</f>
        <v>2100 CENTRAL FURNACE ROAD</v>
      </c>
      <c r="Z1048" s="131" t="str">
        <f>+Plant_Information!$B$12</f>
        <v>CLEVELAND, OH, 44115</v>
      </c>
      <c r="AA1048" s="131" t="str">
        <f>+Plant_Information!$B$13</f>
        <v>12</v>
      </c>
      <c r="AB1048" s="131" t="str">
        <f>+Plant_Information!$B$14</f>
        <v>CUY</v>
      </c>
      <c r="AC1048" s="70"/>
    </row>
    <row r="1050" spans="17:29" x14ac:dyDescent="0.2">
      <c r="V1050" s="131">
        <f>SUM(V4:V1049)</f>
        <v>331</v>
      </c>
    </row>
  </sheetData>
  <sheetProtection algorithmName="SHA-512" hashValue="PmG3se8HhqdjXwJ2XBfql3D8kwdj5jpidQDiJaO0OkKrOnEXONpJdcFcV7XoxVSwSuiBnuSIwGKowqDYM2imVA==" saltValue="o2RraWv9i3+PXbVvj+G8uA==" spinCount="100000" sheet="1" objects="1" scenarios="1"/>
  <autoFilter ref="Q3:AC1065" xr:uid="{F33B5ADE-08ED-47D4-AA1F-AFC094F616E5}"/>
  <mergeCells count="4">
    <mergeCell ref="AW61:AY61"/>
    <mergeCell ref="B1:K1"/>
    <mergeCell ref="Q1:V1"/>
    <mergeCell ref="AE11:AX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O1179"/>
  <sheetViews>
    <sheetView workbookViewId="0">
      <selection activeCell="A2" sqref="A2"/>
    </sheetView>
  </sheetViews>
  <sheetFormatPr defaultRowHeight="12.75" customHeight="1" x14ac:dyDescent="0.15"/>
  <cols>
    <col min="1" max="1" width="14.140625" style="58" customWidth="1"/>
    <col min="2" max="2" width="28.28515625" style="58" customWidth="1"/>
    <col min="3" max="3" width="19.7109375" style="55" bestFit="1" customWidth="1"/>
    <col min="4" max="16384" width="9.140625" style="55"/>
  </cols>
  <sheetData>
    <row r="1" spans="1:2" ht="12.75" customHeight="1" x14ac:dyDescent="0.15">
      <c r="A1" s="58" t="s">
        <v>74</v>
      </c>
      <c r="B1" s="58" t="s">
        <v>75</v>
      </c>
    </row>
    <row r="2" spans="1:2" ht="12.75" customHeight="1" x14ac:dyDescent="0.15">
      <c r="A2" s="58" t="e">
        <f>Plant_Information!#REF!</f>
        <v>#REF!</v>
      </c>
      <c r="B2" s="58" t="e">
        <f>Plant_Information!#REF!</f>
        <v>#REF!</v>
      </c>
    </row>
    <row r="3" spans="1:2" ht="12.75" customHeight="1" x14ac:dyDescent="0.15">
      <c r="A3" s="58" t="str">
        <f>Plant_Information!B6</f>
        <v>(INSERT VENDOR NAME HERE)</v>
      </c>
      <c r="B3" s="58" t="str">
        <f>Plant_Information!A6</f>
        <v xml:space="preserve">Vendor Name </v>
      </c>
    </row>
    <row r="4" spans="1:2" ht="12.75" customHeight="1" x14ac:dyDescent="0.15">
      <c r="A4" s="58" t="str">
        <f>Plant_Information!B8</f>
        <v>LAFARGE-MARBLEHEAD "OSBORNE-CLEVELAND"</v>
      </c>
      <c r="B4" s="58" t="str">
        <f>Plant_Information!A9</f>
        <v xml:space="preserve">Plant Name </v>
      </c>
    </row>
    <row r="5" spans="1:2" ht="12.75" customHeight="1" x14ac:dyDescent="0.15">
      <c r="A5" s="58" t="str">
        <f>Plant_Information!B9</f>
        <v>LAFARGE-MARBLEHEAD "OSBORNE-CLEVELAND"</v>
      </c>
      <c r="B5" s="58" t="e">
        <f>Plant_Information!#REF!</f>
        <v>#REF!</v>
      </c>
    </row>
    <row r="6" spans="1:2" ht="12.75" customHeight="1" x14ac:dyDescent="0.15">
      <c r="A6" s="58" t="str">
        <f>Plant_Information!B10</f>
        <v>04105-28</v>
      </c>
      <c r="B6" s="58" t="str">
        <f>Plant_Information!A10</f>
        <v xml:space="preserve">* PS Code of the pit or mine location (See ITB Section 4.2) </v>
      </c>
    </row>
    <row r="7" spans="1:2" ht="12.75" customHeight="1" x14ac:dyDescent="0.15">
      <c r="A7" s="58" t="str">
        <f>Plant_Information!B12</f>
        <v>CLEVELAND, OH, 44115</v>
      </c>
      <c r="B7" s="58" t="str">
        <f>Plant_Information!A12</f>
        <v xml:space="preserve">City, State &amp; Zip of Plant Location </v>
      </c>
    </row>
    <row r="8" spans="1:2" ht="12.75" customHeight="1" x14ac:dyDescent="0.15">
      <c r="A8" s="58" t="str">
        <f>Plant_Information!B14</f>
        <v>CUY</v>
      </c>
      <c r="B8" s="58" t="str">
        <f>Plant_Information!A14</f>
        <v xml:space="preserve">Ohio County in Which Plant is Located </v>
      </c>
    </row>
    <row r="9" spans="1:2" ht="12.75" customHeight="1" x14ac:dyDescent="0.15">
      <c r="A9" s="58" t="str">
        <f>Plant_Information!B15</f>
        <v xml:space="preserve">TOM NOLAN </v>
      </c>
      <c r="B9" s="58" t="str">
        <f>Plant_Information!A15</f>
        <v xml:space="preserve">Plant Contact Name </v>
      </c>
    </row>
    <row r="10" spans="1:2" ht="12.75" customHeight="1" x14ac:dyDescent="0.15">
      <c r="A10" s="58" t="str">
        <f>Plant_Information!B16</f>
        <v>216-696-1220</v>
      </c>
      <c r="B10" s="58" t="str">
        <f>Plant_Information!A16</f>
        <v xml:space="preserve">Plant Telephone Number </v>
      </c>
    </row>
    <row r="11" spans="1:2" ht="12.75" customHeight="1" x14ac:dyDescent="0.15">
      <c r="A11" s="58">
        <f>Plant_Information!B17</f>
        <v>60</v>
      </c>
      <c r="B11" s="58" t="str">
        <f>Plant_Information!A17</f>
        <v xml:space="preserve">Miles N, E, S or W of City of </v>
      </c>
    </row>
    <row r="12" spans="1:2" ht="12.75" customHeight="1" x14ac:dyDescent="0.15">
      <c r="A12" s="58">
        <f>Plant_Information!B18</f>
        <v>1000</v>
      </c>
      <c r="B12" s="58" t="str">
        <f>Plant_Information!A18</f>
        <v xml:space="preserve">Daily Capacity of Plant in Tons </v>
      </c>
    </row>
    <row r="13" spans="1:2" ht="12.75" customHeight="1" x14ac:dyDescent="0.15">
      <c r="A13" s="58" t="str">
        <f>Plant_Information!B19</f>
        <v>N/A</v>
      </c>
      <c r="B13" s="58" t="str">
        <f>Plant_Information!A19</f>
        <v xml:space="preserve">Capacity of Bins </v>
      </c>
    </row>
    <row r="14" spans="1:2" ht="12.75" customHeight="1" x14ac:dyDescent="0.15">
      <c r="A14" s="58">
        <f>Plant_Information!B20</f>
        <v>2</v>
      </c>
      <c r="B14" s="58" t="str">
        <f>Plant_Information!A20</f>
        <v xml:space="preserve">Loading Facilities </v>
      </c>
    </row>
    <row r="15" spans="1:2" ht="12.75" customHeight="1" x14ac:dyDescent="0.15">
      <c r="A15" s="58">
        <f>Plant_Information!B21</f>
        <v>1</v>
      </c>
      <c r="B15" s="58" t="str">
        <f>Plant_Information!A21</f>
        <v xml:space="preserve">Truck Scales </v>
      </c>
    </row>
    <row r="16" spans="1:2" ht="12.75" customHeight="1" x14ac:dyDescent="0.15">
      <c r="A16" s="58" t="str">
        <f>Plant_Information!B23</f>
        <v>YES</v>
      </c>
      <c r="B16" s="58" t="str">
        <f>Plant_Information!A23</f>
        <v>Have you facilities for loading trucks with loader or out of bins at your plant?</v>
      </c>
    </row>
    <row r="17" spans="1:2" ht="12.75" customHeight="1" x14ac:dyDescent="0.15">
      <c r="A17" s="58" t="str">
        <f>Plant_Information!B24</f>
        <v>N/A</v>
      </c>
      <c r="B17" s="58" t="str">
        <f>Plant_Information!A24</f>
        <v xml:space="preserve">Amount and size of material available in stock pile </v>
      </c>
    </row>
    <row r="18" spans="1:2" ht="12.75" customHeight="1" x14ac:dyDescent="0.15">
      <c r="A18" s="58" t="str">
        <f>Plant_Information!B22</f>
        <v>N/A</v>
      </c>
      <c r="B18" s="58" t="str">
        <f>Plant_Information!A22</f>
        <v xml:space="preserve">List any other pertinent information that might be of interest to the Department </v>
      </c>
    </row>
    <row r="19" spans="1:2" ht="12.75" customHeight="1" x14ac:dyDescent="0.15">
      <c r="A19" s="58">
        <f>'Aggregate, Plant Pick-up'!B9</f>
        <v>0</v>
      </c>
      <c r="B19" s="58" t="str">
        <f>'Aggregate, Plant Pick-up'!A9</f>
        <v xml:space="preserve">Limestone-Spec. 703.17  </v>
      </c>
    </row>
    <row r="20" spans="1:2" ht="12.75" customHeight="1" x14ac:dyDescent="0.15">
      <c r="A20" s="58">
        <f>'Aggregate, Plant Pick-up'!B10</f>
        <v>0</v>
      </c>
      <c r="B20" s="58" t="str">
        <f>'Aggregate, Plant Pick-up'!A10</f>
        <v>Slag-Spec. 703.17</v>
      </c>
    </row>
    <row r="21" spans="1:2" ht="12.75" customHeight="1" x14ac:dyDescent="0.15">
      <c r="A21" s="58">
        <f>'Aggregate, Plant Pick-up'!B11</f>
        <v>0</v>
      </c>
      <c r="B21" s="58" t="str">
        <f>'Aggregate, Plant Pick-up'!A11</f>
        <v>CR Gravel-Spec. 703.17</v>
      </c>
    </row>
    <row r="22" spans="1:2" ht="12.75" customHeight="1" x14ac:dyDescent="0.15">
      <c r="A22" s="58">
        <f>'Aggregate, Plant Pick-up'!B12</f>
        <v>0</v>
      </c>
      <c r="B22" s="58" t="str">
        <f>'Aggregate, Plant Pick-up'!A12</f>
        <v>Gran. Slag-Spec. 703.08</v>
      </c>
    </row>
    <row r="23" spans="1:2" ht="12.75" customHeight="1" x14ac:dyDescent="0.15">
      <c r="A23" s="58">
        <f>'Aggregate, Plant Pick-up'!B15</f>
        <v>60</v>
      </c>
      <c r="B23" s="58" t="str">
        <f>'Aggregate, Plant Pick-up'!A15</f>
        <v>A-703.19.B.1</v>
      </c>
    </row>
    <row r="24" spans="1:2" ht="12.75" customHeight="1" x14ac:dyDescent="0.15">
      <c r="A24" s="58">
        <f>'Aggregate, Plant Pick-up'!B16</f>
        <v>52</v>
      </c>
      <c r="B24" s="58" t="str">
        <f>'Aggregate, Plant Pick-up'!A16</f>
        <v>B-703.19.B.2</v>
      </c>
    </row>
    <row r="25" spans="1:2" ht="12.75" customHeight="1" x14ac:dyDescent="0.15">
      <c r="A25" s="58">
        <f>'Aggregate, Plant Pick-up'!B17</f>
        <v>40</v>
      </c>
      <c r="B25" s="58" t="str">
        <f>'Aggregate, Plant Pick-up'!A17</f>
        <v>C-703.19.B.3</v>
      </c>
    </row>
    <row r="26" spans="1:2" ht="12.75" customHeight="1" x14ac:dyDescent="0.15">
      <c r="A26" s="58">
        <f>'Aggregate, Plant Pick-up'!B18</f>
        <v>36</v>
      </c>
      <c r="B26" s="58" t="str">
        <f>'Aggregate, Plant Pick-up'!A18</f>
        <v>D-703.19.B.4</v>
      </c>
    </row>
    <row r="27" spans="1:2" ht="12.75" customHeight="1" x14ac:dyDescent="0.15">
      <c r="A27" s="58">
        <f>'Aggregate, Plant Pick-up'!D9</f>
        <v>0</v>
      </c>
      <c r="B27" s="58" t="str">
        <f>'Aggregate, Plant Pick-up'!C9</f>
        <v>Natural Sand-Spec. 703.02</v>
      </c>
    </row>
    <row r="28" spans="1:2" ht="12.75" customHeight="1" x14ac:dyDescent="0.15">
      <c r="A28" s="58">
        <f>'Aggregate, Plant Pick-up'!D10</f>
        <v>0</v>
      </c>
      <c r="B28" s="58" t="str">
        <f>'Aggregate, Plant Pick-up'!C10</f>
        <v xml:space="preserve">Crushed Stone-Spec. 703.02    </v>
      </c>
    </row>
    <row r="29" spans="1:2" ht="12.75" customHeight="1" x14ac:dyDescent="0.15">
      <c r="A29" s="58">
        <f>'Aggregate, Plant Pick-up'!D11</f>
        <v>0</v>
      </c>
      <c r="B29" s="58" t="str">
        <f>'Aggregate, Plant Pick-up'!C11</f>
        <v>Natural Sand-Spec. 703.03</v>
      </c>
    </row>
    <row r="30" spans="1:2" ht="12.75" customHeight="1" x14ac:dyDescent="0.15">
      <c r="A30" s="58">
        <f>'Aggregate, Plant Pick-up'!D12</f>
        <v>0</v>
      </c>
      <c r="B30" s="58" t="str">
        <f>'Aggregate, Plant Pick-up'!C12</f>
        <v>Crushed Stone-Spec. 703.03</v>
      </c>
    </row>
    <row r="31" spans="1:2" ht="12.75" customHeight="1" x14ac:dyDescent="0.15">
      <c r="A31" s="58">
        <f>'Aggregate, Plant Pick-up'!D13</f>
        <v>0</v>
      </c>
      <c r="B31" s="58" t="str">
        <f>'Aggregate, Plant Pick-up'!C13</f>
        <v>Crushed Slag-Spec. 703.03</v>
      </c>
    </row>
    <row r="32" spans="1:2" ht="12.75" customHeight="1" x14ac:dyDescent="0.15">
      <c r="A32" s="58">
        <f>'Aggregate, Plant Pick-up'!D14</f>
        <v>0</v>
      </c>
      <c r="B32" s="58" t="str">
        <f>'Aggregate, Plant Pick-up'!C14</f>
        <v>Natural Sand-Spec. 703.05</v>
      </c>
    </row>
    <row r="33" spans="1:2" ht="12.75" customHeight="1" x14ac:dyDescent="0.15">
      <c r="A33" s="58">
        <f>'Aggregate, Plant Pick-up'!D15</f>
        <v>0</v>
      </c>
      <c r="B33" s="58" t="str">
        <f>'Aggregate, Plant Pick-up'!C15</f>
        <v>Crushed Stone-Spec. 703.05</v>
      </c>
    </row>
    <row r="34" spans="1:2" ht="12.75" customHeight="1" x14ac:dyDescent="0.15">
      <c r="A34" s="58">
        <f>'Aggregate, Plant Pick-up'!D16</f>
        <v>0</v>
      </c>
      <c r="B34" s="58" t="str">
        <f>'Aggregate, Plant Pick-up'!C16</f>
        <v>Crushed Gravel-Spec. 703.05</v>
      </c>
    </row>
    <row r="35" spans="1:2" ht="12.75" customHeight="1" x14ac:dyDescent="0.15">
      <c r="A35" s="58">
        <f>'Aggregate, Plant Pick-up'!D17</f>
        <v>0</v>
      </c>
      <c r="B35" s="58" t="str">
        <f>'Aggregate, Plant Pick-up'!C17</f>
        <v>Crushed Slag-Spec. 703.05</v>
      </c>
    </row>
    <row r="36" spans="1:2" ht="12.75" customHeight="1" x14ac:dyDescent="0.15">
      <c r="A36" s="58">
        <f>'Aggregate, Plant Pick-up'!D18</f>
        <v>0</v>
      </c>
      <c r="B36" s="58" t="str">
        <f>'Aggregate, Plant Pick-up'!C18</f>
        <v>Crushed Gravel-Spec. 703.10</v>
      </c>
    </row>
    <row r="37" spans="1:2" ht="12.75" customHeight="1" x14ac:dyDescent="0.15">
      <c r="A37" s="58">
        <f>'Aggregate, Plant Pick-up'!D19</f>
        <v>0</v>
      </c>
      <c r="B37" s="58" t="str">
        <f>'Aggregate, Plant Pick-up'!C19</f>
        <v>Crushed Stone-Spec. 703.10</v>
      </c>
    </row>
    <row r="38" spans="1:2" ht="12.75" customHeight="1" x14ac:dyDescent="0.15">
      <c r="A38" s="58">
        <f>'Aggregate, Plant Pick-up'!D20</f>
        <v>0</v>
      </c>
      <c r="B38" s="58" t="str">
        <f>'Aggregate, Plant Pick-up'!C20</f>
        <v>Crushed Slag-Spec. 703.10</v>
      </c>
    </row>
    <row r="39" spans="1:2" ht="12.75" customHeight="1" x14ac:dyDescent="0.15">
      <c r="A39" s="58">
        <f>'Aggregate, Plant Pick-up'!C23</f>
        <v>0</v>
      </c>
      <c r="B39" s="58" t="str">
        <f>'Aggregate, Plant Pick-up'!A23</f>
        <v>Limestone-Spec.  703.18</v>
      </c>
    </row>
    <row r="40" spans="1:2" ht="12.75" customHeight="1" x14ac:dyDescent="0.15">
      <c r="A40" s="58">
        <f>'Aggregate, Plant Pick-up'!C24</f>
        <v>0</v>
      </c>
      <c r="B40" s="58" t="str">
        <f>'Aggregate, Plant Pick-up'!A24</f>
        <v>Slag-Spec. 703.18</v>
      </c>
    </row>
    <row r="41" spans="1:2" ht="12.75" customHeight="1" x14ac:dyDescent="0.15">
      <c r="A41" s="58">
        <f>'Aggregate, Plant Pick-up'!C25</f>
        <v>0</v>
      </c>
      <c r="B41" s="58" t="str">
        <f>'Aggregate, Plant Pick-up'!A25</f>
        <v>Gravel-Spec. 703.18</v>
      </c>
    </row>
    <row r="42" spans="1:2" ht="12.75" customHeight="1" x14ac:dyDescent="0.15">
      <c r="A42" s="58">
        <f>'Aggregate, Plant Pick-up'!C28</f>
        <v>15.85</v>
      </c>
      <c r="B42" s="58" t="str">
        <f>'Aggregate, Plant Pick-up'!A28</f>
        <v>Limestone-Spec.  703.18</v>
      </c>
    </row>
    <row r="43" spans="1:2" ht="12.75" customHeight="1" x14ac:dyDescent="0.15">
      <c r="A43" s="58">
        <f>'Aggregate, Plant Pick-up'!C29</f>
        <v>0</v>
      </c>
      <c r="B43" s="58" t="str">
        <f>'Aggregate, Plant Pick-up'!A29</f>
        <v>Slag-Spec. 703.18</v>
      </c>
    </row>
    <row r="44" spans="1:2" ht="12.75" customHeight="1" x14ac:dyDescent="0.15">
      <c r="A44" s="58">
        <f>'Aggregate, Plant Pick-up'!C30</f>
        <v>0</v>
      </c>
      <c r="B44" s="58" t="str">
        <f>'Aggregate, Plant Pick-up'!A30</f>
        <v>Gravel-Spec. 703.18</v>
      </c>
    </row>
    <row r="45" spans="1:2" ht="12.75" customHeight="1" x14ac:dyDescent="0.15">
      <c r="A45" s="58">
        <f>'Aggregate, Plant Pick-up'!D38</f>
        <v>0</v>
      </c>
      <c r="B45" s="58" t="str">
        <f>'Aggregate, Plant Pick-up'!A38</f>
        <v>Type A</v>
      </c>
    </row>
    <row r="46" spans="1:2" ht="12.75" customHeight="1" x14ac:dyDescent="0.15">
      <c r="A46" s="58">
        <f>'Aggregate, Plant Pick-up'!D39</f>
        <v>0</v>
      </c>
      <c r="B46" s="58" t="str">
        <f>'Aggregate, Plant Pick-up'!A39</f>
        <v>Type B</v>
      </c>
    </row>
    <row r="47" spans="1:2" ht="12.75" customHeight="1" x14ac:dyDescent="0.15">
      <c r="A47" s="58">
        <f>'Aggregate, Plant Pick-up'!D40</f>
        <v>0</v>
      </c>
      <c r="B47" s="58" t="str">
        <f>'Aggregate, Plant Pick-up'!A40</f>
        <v>Type C</v>
      </c>
    </row>
    <row r="48" spans="1:2" ht="12.75" customHeight="1" x14ac:dyDescent="0.15">
      <c r="A48" s="58">
        <f>'Aggregate, Plant Pick-up'!D41</f>
        <v>0</v>
      </c>
      <c r="B48" s="58" t="str">
        <f>'Aggregate, Plant Pick-up'!A41</f>
        <v>Type D</v>
      </c>
    </row>
    <row r="49" spans="1:4" ht="12.75" customHeight="1" x14ac:dyDescent="0.15">
      <c r="A49" s="58">
        <f>'Aggregate, Plant Pick-up'!H9</f>
        <v>19.55</v>
      </c>
      <c r="B49" s="58" t="str">
        <f>'Aggregate, Plant Pick-up'!G9&amp;"-" &amp;'Aggregate, Plant Pick-up'!$F$9&amp; "-" &amp; 'Aggregate, Plant Pick-up'!$H$7</f>
        <v>703.02-No. 1-Stone</v>
      </c>
      <c r="C49" s="55" t="str">
        <f>'Aggregate, Plant Pick-up'!$F$9</f>
        <v>No. 1</v>
      </c>
      <c r="D49" s="55" t="str">
        <f>'Aggregate, Plant Pick-up'!$H$7</f>
        <v>Stone</v>
      </c>
    </row>
    <row r="50" spans="1:4" ht="12.75" customHeight="1" x14ac:dyDescent="0.15">
      <c r="A50" s="58">
        <f>'Aggregate, Plant Pick-up'!H10</f>
        <v>0</v>
      </c>
      <c r="B50" s="58" t="str">
        <f>'Aggregate, Plant Pick-up'!G10&amp;"-" &amp;'Aggregate, Plant Pick-up'!$F$9&amp; "-" &amp; 'Aggregate, Plant Pick-up'!$H$7</f>
        <v>703.04-No. 1-Stone</v>
      </c>
      <c r="C50" s="55">
        <f>'Aggregate, Plant Pick-up'!F10</f>
        <v>0</v>
      </c>
      <c r="D50" s="55" t="str">
        <f>'Aggregate, Plant Pick-up'!$H$7</f>
        <v>Stone</v>
      </c>
    </row>
    <row r="51" spans="1:4" ht="12.75" customHeight="1" x14ac:dyDescent="0.15">
      <c r="A51" s="58">
        <f>'Aggregate, Plant Pick-up'!H11</f>
        <v>0</v>
      </c>
      <c r="B51" s="58" t="str">
        <f>'Aggregate, Plant Pick-up'!G11&amp;"-" &amp;'Aggregate, Plant Pick-up'!$F$9&amp; "-" &amp; 'Aggregate, Plant Pick-up'!$H$7</f>
        <v>703.05-No. 1-Stone</v>
      </c>
      <c r="C51" s="55">
        <f>'Aggregate, Plant Pick-up'!F11</f>
        <v>0</v>
      </c>
      <c r="D51" s="55" t="str">
        <f>'Aggregate, Plant Pick-up'!$H$7</f>
        <v>Stone</v>
      </c>
    </row>
    <row r="52" spans="1:4" ht="12.75" customHeight="1" x14ac:dyDescent="0.15">
      <c r="A52" s="58">
        <f>'Aggregate, Plant Pick-up'!H12</f>
        <v>0</v>
      </c>
      <c r="B52" s="58" t="str">
        <f>'Aggregate, Plant Pick-up'!G12 &amp; "-" &amp; 'Aggregate, Plant Pick-up'!$F$12 &amp; "-" &amp; 'Aggregate, Plant Pick-up'!$H$7</f>
        <v>703.02-No. 2-Stone</v>
      </c>
      <c r="C52" s="55" t="str">
        <f>'Aggregate, Plant Pick-up'!F12</f>
        <v>No. 2</v>
      </c>
      <c r="D52" s="55" t="str">
        <f>'Aggregate, Plant Pick-up'!$H$7</f>
        <v>Stone</v>
      </c>
    </row>
    <row r="53" spans="1:4" ht="12.75" customHeight="1" x14ac:dyDescent="0.15">
      <c r="A53" s="58">
        <f>'Aggregate, Plant Pick-up'!H13</f>
        <v>19.55</v>
      </c>
      <c r="B53" s="58" t="str">
        <f>'Aggregate, Plant Pick-up'!G13 &amp; "-" &amp; 'Aggregate, Plant Pick-up'!$F$12 &amp; "-" &amp; 'Aggregate, Plant Pick-up'!$H$7</f>
        <v>703.04-No. 2-Stone</v>
      </c>
      <c r="C53" s="55">
        <f>'Aggregate, Plant Pick-up'!F13</f>
        <v>0</v>
      </c>
      <c r="D53" s="55" t="str">
        <f>'Aggregate, Plant Pick-up'!$H$7</f>
        <v>Stone</v>
      </c>
    </row>
    <row r="54" spans="1:4" ht="12.75" customHeight="1" x14ac:dyDescent="0.15">
      <c r="A54" s="58">
        <f>'Aggregate, Plant Pick-up'!H14</f>
        <v>0</v>
      </c>
      <c r="B54" s="58" t="str">
        <f>'Aggregate, Plant Pick-up'!G14 &amp; "-" &amp; 'Aggregate, Plant Pick-up'!$F$12 &amp; "-" &amp; 'Aggregate, Plant Pick-up'!$H$7</f>
        <v>703.05-No. 2-Stone</v>
      </c>
      <c r="C54" s="55">
        <f>'Aggregate, Plant Pick-up'!F14</f>
        <v>0</v>
      </c>
      <c r="D54" s="55" t="str">
        <f>'Aggregate, Plant Pick-up'!$H$7</f>
        <v>Stone</v>
      </c>
    </row>
    <row r="55" spans="1:4" ht="12.75" customHeight="1" x14ac:dyDescent="0.15">
      <c r="A55" s="58">
        <f>'Aggregate, Plant Pick-up'!H15</f>
        <v>0</v>
      </c>
      <c r="B55" s="58">
        <f>'Aggregate, Plant Pick-up'!G15</f>
        <v>703.02</v>
      </c>
      <c r="C55" s="55" t="str">
        <f>'Aggregate, Plant Pick-up'!F15</f>
        <v>No. 3</v>
      </c>
      <c r="D55" s="55" t="str">
        <f>'Aggregate, Plant Pick-up'!$H$7</f>
        <v>Stone</v>
      </c>
    </row>
    <row r="56" spans="1:4" ht="12.75" customHeight="1" x14ac:dyDescent="0.15">
      <c r="A56" s="58">
        <f>'Aggregate, Plant Pick-up'!H16</f>
        <v>0</v>
      </c>
      <c r="B56" s="58">
        <f>'Aggregate, Plant Pick-up'!G16</f>
        <v>703.04</v>
      </c>
      <c r="C56" s="55">
        <f>'Aggregate, Plant Pick-up'!F16</f>
        <v>0</v>
      </c>
      <c r="D56" s="55" t="str">
        <f>'Aggregate, Plant Pick-up'!$H$7</f>
        <v>Stone</v>
      </c>
    </row>
    <row r="57" spans="1:4" ht="12.75" customHeight="1" x14ac:dyDescent="0.15">
      <c r="A57" s="58">
        <f>'Aggregate, Plant Pick-up'!H17</f>
        <v>0</v>
      </c>
      <c r="B57" s="58">
        <f>'Aggregate, Plant Pick-up'!G17</f>
        <v>703.05</v>
      </c>
      <c r="C57" s="55">
        <f>'Aggregate, Plant Pick-up'!F17</f>
        <v>0</v>
      </c>
      <c r="D57" s="55" t="str">
        <f>'Aggregate, Plant Pick-up'!$H$7</f>
        <v>Stone</v>
      </c>
    </row>
    <row r="58" spans="1:4" ht="12.75" customHeight="1" x14ac:dyDescent="0.15">
      <c r="A58" s="58">
        <f>'Aggregate, Plant Pick-up'!H18</f>
        <v>20.05</v>
      </c>
      <c r="B58" s="58">
        <f>'Aggregate, Plant Pick-up'!G18</f>
        <v>703.02</v>
      </c>
      <c r="C58" s="55" t="str">
        <f>'Aggregate, Plant Pick-up'!F18</f>
        <v>No. 4</v>
      </c>
      <c r="D58" s="55" t="str">
        <f>'Aggregate, Plant Pick-up'!$H$7</f>
        <v>Stone</v>
      </c>
    </row>
    <row r="59" spans="1:4" ht="12.75" customHeight="1" x14ac:dyDescent="0.15">
      <c r="A59" s="58">
        <f>'Aggregate, Plant Pick-up'!H19</f>
        <v>0</v>
      </c>
      <c r="B59" s="58">
        <f>'Aggregate, Plant Pick-up'!G19</f>
        <v>703.04</v>
      </c>
      <c r="C59" s="55">
        <f>'Aggregate, Plant Pick-up'!F19</f>
        <v>0</v>
      </c>
      <c r="D59" s="55" t="str">
        <f>'Aggregate, Plant Pick-up'!$H$7</f>
        <v>Stone</v>
      </c>
    </row>
    <row r="60" spans="1:4" ht="12.75" customHeight="1" x14ac:dyDescent="0.15">
      <c r="A60" s="58">
        <f>'Aggregate, Plant Pick-up'!H20</f>
        <v>0</v>
      </c>
      <c r="B60" s="58">
        <f>'Aggregate, Plant Pick-up'!G20</f>
        <v>703.05</v>
      </c>
      <c r="C60" s="55">
        <f>'Aggregate, Plant Pick-up'!F20</f>
        <v>0</v>
      </c>
      <c r="D60" s="55" t="str">
        <f>'Aggregate, Plant Pick-up'!$H$7</f>
        <v>Stone</v>
      </c>
    </row>
    <row r="61" spans="1:4" ht="12.75" customHeight="1" x14ac:dyDescent="0.15">
      <c r="A61" s="58">
        <f>'Aggregate, Plant Pick-up'!H21</f>
        <v>0</v>
      </c>
      <c r="B61" s="58">
        <f>'Aggregate, Plant Pick-up'!G21</f>
        <v>703.02</v>
      </c>
      <c r="C61" s="55" t="str">
        <f>'Aggregate, Plant Pick-up'!F21</f>
        <v>No. 467</v>
      </c>
      <c r="D61" s="55" t="str">
        <f>'Aggregate, Plant Pick-up'!$H$7</f>
        <v>Stone</v>
      </c>
    </row>
    <row r="62" spans="1:4" ht="12.75" customHeight="1" x14ac:dyDescent="0.15">
      <c r="A62" s="58">
        <f>'Aggregate, Plant Pick-up'!H22</f>
        <v>0</v>
      </c>
      <c r="B62" s="58">
        <f>'Aggregate, Plant Pick-up'!G22</f>
        <v>703.04</v>
      </c>
      <c r="C62" s="55">
        <f>'Aggregate, Plant Pick-up'!F22</f>
        <v>0</v>
      </c>
      <c r="D62" s="55" t="str">
        <f>'Aggregate, Plant Pick-up'!$H$7</f>
        <v>Stone</v>
      </c>
    </row>
    <row r="63" spans="1:4" ht="12.75" customHeight="1" x14ac:dyDescent="0.15">
      <c r="A63" s="58">
        <f>'Aggregate, Plant Pick-up'!H23</f>
        <v>0</v>
      </c>
      <c r="B63" s="58">
        <f>'Aggregate, Plant Pick-up'!G23</f>
        <v>703.05</v>
      </c>
      <c r="C63" s="55">
        <f>'Aggregate, Plant Pick-up'!F23</f>
        <v>0</v>
      </c>
      <c r="D63" s="55" t="str">
        <f>'Aggregate, Plant Pick-up'!$H$7</f>
        <v>Stone</v>
      </c>
    </row>
    <row r="64" spans="1:4" ht="12.75" customHeight="1" x14ac:dyDescent="0.15">
      <c r="A64" s="58">
        <f>'Aggregate, Plant Pick-up'!H24</f>
        <v>0</v>
      </c>
      <c r="B64" s="58">
        <f>'Aggregate, Plant Pick-up'!G24</f>
        <v>703.02</v>
      </c>
      <c r="C64" s="55" t="str">
        <f>'Aggregate, Plant Pick-up'!F24</f>
        <v>No. 57</v>
      </c>
      <c r="D64" s="55" t="str">
        <f>'Aggregate, Plant Pick-up'!$H$7</f>
        <v>Stone</v>
      </c>
    </row>
    <row r="65" spans="1:4" ht="12.75" customHeight="1" x14ac:dyDescent="0.15">
      <c r="A65" s="58">
        <f>'Aggregate, Plant Pick-up'!H25</f>
        <v>19.2</v>
      </c>
      <c r="B65" s="58">
        <f>'Aggregate, Plant Pick-up'!G25</f>
        <v>703.04</v>
      </c>
      <c r="C65" s="55">
        <f>'Aggregate, Plant Pick-up'!F25</f>
        <v>0</v>
      </c>
      <c r="D65" s="55" t="str">
        <f>'Aggregate, Plant Pick-up'!$H$7</f>
        <v>Stone</v>
      </c>
    </row>
    <row r="66" spans="1:4" ht="12.75" customHeight="1" x14ac:dyDescent="0.15">
      <c r="A66" s="58">
        <f>'Aggregate, Plant Pick-up'!H26</f>
        <v>0</v>
      </c>
      <c r="B66" s="58">
        <f>'Aggregate, Plant Pick-up'!G26</f>
        <v>703.05</v>
      </c>
      <c r="C66" s="55">
        <f>'Aggregate, Plant Pick-up'!F26</f>
        <v>0</v>
      </c>
      <c r="D66" s="55" t="str">
        <f>'Aggregate, Plant Pick-up'!$H$7</f>
        <v>Stone</v>
      </c>
    </row>
    <row r="67" spans="1:4" ht="12.75" customHeight="1" x14ac:dyDescent="0.15">
      <c r="A67" s="58">
        <f>'Aggregate, Plant Pick-up'!H27</f>
        <v>0</v>
      </c>
      <c r="B67" s="58">
        <f>'Aggregate, Plant Pick-up'!G27</f>
        <v>703.02</v>
      </c>
      <c r="C67" s="55" t="str">
        <f>'Aggregate, Plant Pick-up'!F27</f>
        <v>No. 6</v>
      </c>
      <c r="D67" s="55" t="str">
        <f>'Aggregate, Plant Pick-up'!$H$7</f>
        <v>Stone</v>
      </c>
    </row>
    <row r="68" spans="1:4" ht="12.75" customHeight="1" x14ac:dyDescent="0.15">
      <c r="A68" s="58">
        <f>'Aggregate, Plant Pick-up'!H28</f>
        <v>0</v>
      </c>
      <c r="B68" s="58">
        <f>'Aggregate, Plant Pick-up'!G28</f>
        <v>703.04</v>
      </c>
      <c r="C68" s="55">
        <f>'Aggregate, Plant Pick-up'!F28</f>
        <v>0</v>
      </c>
      <c r="D68" s="55" t="str">
        <f>'Aggregate, Plant Pick-up'!$H$7</f>
        <v>Stone</v>
      </c>
    </row>
    <row r="69" spans="1:4" ht="12.75" customHeight="1" x14ac:dyDescent="0.15">
      <c r="A69" s="58">
        <f>'Aggregate, Plant Pick-up'!H29</f>
        <v>0</v>
      </c>
      <c r="B69" s="58">
        <f>'Aggregate, Plant Pick-up'!G29</f>
        <v>703.05</v>
      </c>
      <c r="C69" s="55">
        <f>'Aggregate, Plant Pick-up'!F29</f>
        <v>0</v>
      </c>
      <c r="D69" s="55" t="str">
        <f>'Aggregate, Plant Pick-up'!$H$7</f>
        <v>Stone</v>
      </c>
    </row>
    <row r="70" spans="1:4" ht="12.75" customHeight="1" x14ac:dyDescent="0.15">
      <c r="A70" s="58">
        <f>'Aggregate, Plant Pick-up'!H30</f>
        <v>0</v>
      </c>
      <c r="B70" s="58">
        <f>'Aggregate, Plant Pick-up'!G30</f>
        <v>703.02</v>
      </c>
      <c r="C70" s="55" t="str">
        <f>'Aggregate, Plant Pick-up'!F30</f>
        <v>No. 67</v>
      </c>
      <c r="D70" s="55" t="str">
        <f>'Aggregate, Plant Pick-up'!$H$7</f>
        <v>Stone</v>
      </c>
    </row>
    <row r="71" spans="1:4" ht="12.75" customHeight="1" x14ac:dyDescent="0.15">
      <c r="A71" s="58">
        <f>'Aggregate, Plant Pick-up'!H31</f>
        <v>0</v>
      </c>
      <c r="B71" s="58">
        <f>'Aggregate, Plant Pick-up'!G31</f>
        <v>703.04</v>
      </c>
      <c r="C71" s="55">
        <f>'Aggregate, Plant Pick-up'!F31</f>
        <v>0</v>
      </c>
      <c r="D71" s="55" t="str">
        <f>'Aggregate, Plant Pick-up'!$H$7</f>
        <v>Stone</v>
      </c>
    </row>
    <row r="72" spans="1:4" ht="12.75" customHeight="1" x14ac:dyDescent="0.15">
      <c r="A72" s="58">
        <f>'Aggregate, Plant Pick-up'!H32</f>
        <v>0</v>
      </c>
      <c r="B72" s="58">
        <f>'Aggregate, Plant Pick-up'!G32</f>
        <v>703.05</v>
      </c>
      <c r="C72" s="55">
        <f>'Aggregate, Plant Pick-up'!F32</f>
        <v>0</v>
      </c>
      <c r="D72" s="55" t="str">
        <f>'Aggregate, Plant Pick-up'!$H$7</f>
        <v>Stone</v>
      </c>
    </row>
    <row r="73" spans="1:4" ht="12.75" customHeight="1" x14ac:dyDescent="0.15">
      <c r="A73" s="58">
        <f>'Aggregate, Plant Pick-up'!H33</f>
        <v>0</v>
      </c>
      <c r="B73" s="58">
        <f>'Aggregate, Plant Pick-up'!G33</f>
        <v>422.02</v>
      </c>
      <c r="C73" s="55">
        <f>'Aggregate, Plant Pick-up'!F33</f>
        <v>0</v>
      </c>
      <c r="D73" s="55" t="str">
        <f>'Aggregate, Plant Pick-up'!$H$7</f>
        <v>Stone</v>
      </c>
    </row>
    <row r="74" spans="1:4" ht="12.75" customHeight="1" x14ac:dyDescent="0.15">
      <c r="A74" s="58">
        <f>'Aggregate, Plant Pick-up'!H34</f>
        <v>19.3</v>
      </c>
      <c r="B74" s="58">
        <f>'Aggregate, Plant Pick-up'!G34</f>
        <v>703.02</v>
      </c>
      <c r="C74" s="55" t="str">
        <f>'Aggregate, Plant Pick-up'!F34</f>
        <v>No. 8</v>
      </c>
      <c r="D74" s="55" t="str">
        <f>'Aggregate, Plant Pick-up'!$H$7</f>
        <v>Stone</v>
      </c>
    </row>
    <row r="75" spans="1:4" ht="12.75" customHeight="1" x14ac:dyDescent="0.15">
      <c r="A75" s="58">
        <f>'Aggregate, Plant Pick-up'!H35</f>
        <v>0</v>
      </c>
      <c r="B75" s="58">
        <f>'Aggregate, Plant Pick-up'!G35</f>
        <v>703.04</v>
      </c>
      <c r="C75" s="55">
        <f>'Aggregate, Plant Pick-up'!F35</f>
        <v>0</v>
      </c>
      <c r="D75" s="55" t="str">
        <f>'Aggregate, Plant Pick-up'!$H$7</f>
        <v>Stone</v>
      </c>
    </row>
    <row r="76" spans="1:4" ht="12.75" customHeight="1" x14ac:dyDescent="0.15">
      <c r="A76" s="58">
        <f>'Aggregate, Plant Pick-up'!H36</f>
        <v>0</v>
      </c>
      <c r="B76" s="58">
        <f>'Aggregate, Plant Pick-up'!G36</f>
        <v>703.05</v>
      </c>
      <c r="C76" s="55">
        <f>'Aggregate, Plant Pick-up'!F36</f>
        <v>0</v>
      </c>
      <c r="D76" s="55" t="str">
        <f>'Aggregate, Plant Pick-up'!$H$7</f>
        <v>Stone</v>
      </c>
    </row>
    <row r="77" spans="1:4" ht="12.75" customHeight="1" x14ac:dyDescent="0.15">
      <c r="A77" s="58">
        <f>'Aggregate, Plant Pick-up'!H37</f>
        <v>0</v>
      </c>
      <c r="B77" s="58">
        <f>'Aggregate, Plant Pick-up'!G37</f>
        <v>703.02</v>
      </c>
      <c r="C77" s="55" t="str">
        <f>'Aggregate, Plant Pick-up'!F37</f>
        <v>No. 9</v>
      </c>
      <c r="D77" s="55" t="str">
        <f>'Aggregate, Plant Pick-up'!$H$7</f>
        <v>Stone</v>
      </c>
    </row>
    <row r="78" spans="1:4" ht="12.75" customHeight="1" x14ac:dyDescent="0.15">
      <c r="A78" s="58">
        <f>'Aggregate, Plant Pick-up'!H38</f>
        <v>0</v>
      </c>
      <c r="B78" s="58">
        <f>'Aggregate, Plant Pick-up'!G38</f>
        <v>703.04</v>
      </c>
      <c r="C78" s="55">
        <f>'Aggregate, Plant Pick-up'!F38</f>
        <v>0</v>
      </c>
      <c r="D78" s="55" t="str">
        <f>'Aggregate, Plant Pick-up'!$H$7</f>
        <v>Stone</v>
      </c>
    </row>
    <row r="79" spans="1:4" ht="12.75" customHeight="1" x14ac:dyDescent="0.15">
      <c r="A79" s="58">
        <f>'Aggregate, Plant Pick-up'!H39</f>
        <v>0</v>
      </c>
      <c r="B79" s="58">
        <f>'Aggregate, Plant Pick-up'!G39</f>
        <v>703.05</v>
      </c>
      <c r="C79" s="55">
        <f>'Aggregate, Plant Pick-up'!F39</f>
        <v>0</v>
      </c>
      <c r="D79" s="55" t="str">
        <f>'Aggregate, Plant Pick-up'!$H$7</f>
        <v>Stone</v>
      </c>
    </row>
    <row r="80" spans="1:4" ht="12.75" customHeight="1" x14ac:dyDescent="0.15">
      <c r="A80" s="58">
        <f>'Aggregate, Plant Pick-up'!I9</f>
        <v>0</v>
      </c>
      <c r="B80" s="58">
        <f>'Aggregate, Plant Pick-up'!G9</f>
        <v>703.02</v>
      </c>
      <c r="C80" s="55" t="str">
        <f>'Aggregate, Plant Pick-up'!F9</f>
        <v>No. 1</v>
      </c>
      <c r="D80" s="55" t="str">
        <f>'Aggregate, Plant Pick-up'!$I$7</f>
        <v>Slag*</v>
      </c>
    </row>
    <row r="81" spans="1:4" ht="12.75" customHeight="1" x14ac:dyDescent="0.15">
      <c r="A81" s="58">
        <f>'Aggregate, Plant Pick-up'!I10</f>
        <v>0</v>
      </c>
      <c r="B81" s="58">
        <f>'Aggregate, Plant Pick-up'!G10</f>
        <v>703.04</v>
      </c>
      <c r="C81" s="55">
        <f>'Aggregate, Plant Pick-up'!F10</f>
        <v>0</v>
      </c>
      <c r="D81" s="55" t="str">
        <f>'Aggregate, Plant Pick-up'!$I$7</f>
        <v>Slag*</v>
      </c>
    </row>
    <row r="82" spans="1:4" ht="12.75" customHeight="1" x14ac:dyDescent="0.15">
      <c r="A82" s="58">
        <f>'Aggregate, Plant Pick-up'!I11</f>
        <v>0</v>
      </c>
      <c r="B82" s="58">
        <f>'Aggregate, Plant Pick-up'!G11</f>
        <v>703.05</v>
      </c>
      <c r="C82" s="55">
        <f>'Aggregate, Plant Pick-up'!F11</f>
        <v>0</v>
      </c>
      <c r="D82" s="55" t="str">
        <f>'Aggregate, Plant Pick-up'!$I$7</f>
        <v>Slag*</v>
      </c>
    </row>
    <row r="83" spans="1:4" ht="12.75" customHeight="1" x14ac:dyDescent="0.15">
      <c r="A83" s="58">
        <f>'Aggregate, Plant Pick-up'!I12</f>
        <v>0</v>
      </c>
      <c r="B83" s="58">
        <f>'Aggregate, Plant Pick-up'!G12</f>
        <v>703.02</v>
      </c>
      <c r="C83" s="55" t="str">
        <f>'Aggregate, Plant Pick-up'!F12</f>
        <v>No. 2</v>
      </c>
      <c r="D83" s="55" t="str">
        <f>'Aggregate, Plant Pick-up'!$I$7</f>
        <v>Slag*</v>
      </c>
    </row>
    <row r="84" spans="1:4" ht="12.75" customHeight="1" x14ac:dyDescent="0.15">
      <c r="A84" s="58">
        <f>'Aggregate, Plant Pick-up'!I13</f>
        <v>0</v>
      </c>
      <c r="B84" s="58">
        <f>'Aggregate, Plant Pick-up'!G13</f>
        <v>703.04</v>
      </c>
      <c r="C84" s="55">
        <f>'Aggregate, Plant Pick-up'!F13</f>
        <v>0</v>
      </c>
      <c r="D84" s="55" t="str">
        <f>'Aggregate, Plant Pick-up'!$I$7</f>
        <v>Slag*</v>
      </c>
    </row>
    <row r="85" spans="1:4" ht="12.75" customHeight="1" x14ac:dyDescent="0.15">
      <c r="A85" s="58">
        <f>'Aggregate, Plant Pick-up'!I14</f>
        <v>0</v>
      </c>
      <c r="B85" s="58">
        <f>'Aggregate, Plant Pick-up'!G14</f>
        <v>703.05</v>
      </c>
      <c r="C85" s="55">
        <f>'Aggregate, Plant Pick-up'!F14</f>
        <v>0</v>
      </c>
      <c r="D85" s="55" t="str">
        <f>'Aggregate, Plant Pick-up'!$I$7</f>
        <v>Slag*</v>
      </c>
    </row>
    <row r="86" spans="1:4" ht="12.75" customHeight="1" x14ac:dyDescent="0.15">
      <c r="A86" s="58">
        <f>'Aggregate, Plant Pick-up'!I15</f>
        <v>0</v>
      </c>
      <c r="B86" s="58">
        <f>'Aggregate, Plant Pick-up'!G15</f>
        <v>703.02</v>
      </c>
      <c r="C86" s="55" t="str">
        <f>'Aggregate, Plant Pick-up'!F15</f>
        <v>No. 3</v>
      </c>
      <c r="D86" s="55" t="str">
        <f>'Aggregate, Plant Pick-up'!$I$7</f>
        <v>Slag*</v>
      </c>
    </row>
    <row r="87" spans="1:4" ht="12.75" customHeight="1" x14ac:dyDescent="0.15">
      <c r="A87" s="58">
        <f>'Aggregate, Plant Pick-up'!I16</f>
        <v>0</v>
      </c>
      <c r="B87" s="58">
        <f>'Aggregate, Plant Pick-up'!G16</f>
        <v>703.04</v>
      </c>
      <c r="C87" s="55">
        <f>'Aggregate, Plant Pick-up'!F16</f>
        <v>0</v>
      </c>
      <c r="D87" s="55" t="str">
        <f>'Aggregate, Plant Pick-up'!$I$7</f>
        <v>Slag*</v>
      </c>
    </row>
    <row r="88" spans="1:4" ht="12.75" customHeight="1" x14ac:dyDescent="0.15">
      <c r="A88" s="58">
        <f>'Aggregate, Plant Pick-up'!I17</f>
        <v>0</v>
      </c>
      <c r="B88" s="58">
        <f>'Aggregate, Plant Pick-up'!G17</f>
        <v>703.05</v>
      </c>
      <c r="C88" s="55">
        <f>'Aggregate, Plant Pick-up'!F17</f>
        <v>0</v>
      </c>
      <c r="D88" s="55" t="str">
        <f>'Aggregate, Plant Pick-up'!$I$7</f>
        <v>Slag*</v>
      </c>
    </row>
    <row r="89" spans="1:4" ht="12.75" customHeight="1" x14ac:dyDescent="0.15">
      <c r="A89" s="58">
        <f>'Aggregate, Plant Pick-up'!I18</f>
        <v>0</v>
      </c>
      <c r="B89" s="58">
        <f>'Aggregate, Plant Pick-up'!G18</f>
        <v>703.02</v>
      </c>
      <c r="C89" s="55" t="str">
        <f>'Aggregate, Plant Pick-up'!F18</f>
        <v>No. 4</v>
      </c>
      <c r="D89" s="55" t="str">
        <f>'Aggregate, Plant Pick-up'!$I$7</f>
        <v>Slag*</v>
      </c>
    </row>
    <row r="90" spans="1:4" ht="12.75" customHeight="1" x14ac:dyDescent="0.15">
      <c r="A90" s="58">
        <f>'Aggregate, Plant Pick-up'!I19</f>
        <v>0</v>
      </c>
      <c r="B90" s="58">
        <f>'Aggregate, Plant Pick-up'!G19</f>
        <v>703.04</v>
      </c>
      <c r="C90" s="55">
        <f>'Aggregate, Plant Pick-up'!F19</f>
        <v>0</v>
      </c>
      <c r="D90" s="55" t="str">
        <f>'Aggregate, Plant Pick-up'!$I$7</f>
        <v>Slag*</v>
      </c>
    </row>
    <row r="91" spans="1:4" ht="12.75" customHeight="1" x14ac:dyDescent="0.15">
      <c r="A91" s="58">
        <f>'Aggregate, Plant Pick-up'!I20</f>
        <v>0</v>
      </c>
      <c r="B91" s="58">
        <f>'Aggregate, Plant Pick-up'!G20</f>
        <v>703.05</v>
      </c>
      <c r="C91" s="55">
        <f>'Aggregate, Plant Pick-up'!F20</f>
        <v>0</v>
      </c>
      <c r="D91" s="55" t="str">
        <f>'Aggregate, Plant Pick-up'!$I$7</f>
        <v>Slag*</v>
      </c>
    </row>
    <row r="92" spans="1:4" ht="12.75" customHeight="1" x14ac:dyDescent="0.15">
      <c r="A92" s="58">
        <f>'Aggregate, Plant Pick-up'!I21</f>
        <v>0</v>
      </c>
      <c r="B92" s="58">
        <f>'Aggregate, Plant Pick-up'!G21</f>
        <v>703.02</v>
      </c>
      <c r="C92" s="55" t="str">
        <f>'Aggregate, Plant Pick-up'!F21</f>
        <v>No. 467</v>
      </c>
      <c r="D92" s="55" t="str">
        <f>'Aggregate, Plant Pick-up'!$I$7</f>
        <v>Slag*</v>
      </c>
    </row>
    <row r="93" spans="1:4" ht="12.75" customHeight="1" x14ac:dyDescent="0.15">
      <c r="A93" s="58">
        <f>'Aggregate, Plant Pick-up'!I22</f>
        <v>0</v>
      </c>
      <c r="B93" s="58">
        <f>'Aggregate, Plant Pick-up'!G22</f>
        <v>703.04</v>
      </c>
      <c r="C93" s="55">
        <f>'Aggregate, Plant Pick-up'!F22</f>
        <v>0</v>
      </c>
      <c r="D93" s="55" t="str">
        <f>'Aggregate, Plant Pick-up'!$I$7</f>
        <v>Slag*</v>
      </c>
    </row>
    <row r="94" spans="1:4" ht="12.75" customHeight="1" x14ac:dyDescent="0.15">
      <c r="A94" s="58">
        <f>'Aggregate, Plant Pick-up'!I23</f>
        <v>0</v>
      </c>
      <c r="B94" s="58">
        <f>'Aggregate, Plant Pick-up'!G23</f>
        <v>703.05</v>
      </c>
      <c r="C94" s="55">
        <f>'Aggregate, Plant Pick-up'!F23</f>
        <v>0</v>
      </c>
      <c r="D94" s="55" t="str">
        <f>'Aggregate, Plant Pick-up'!$I$7</f>
        <v>Slag*</v>
      </c>
    </row>
    <row r="95" spans="1:4" ht="12.75" customHeight="1" x14ac:dyDescent="0.15">
      <c r="A95" s="58">
        <f>'Aggregate, Plant Pick-up'!I24</f>
        <v>0</v>
      </c>
      <c r="B95" s="58">
        <f>'Aggregate, Plant Pick-up'!G24</f>
        <v>703.02</v>
      </c>
      <c r="C95" s="55" t="str">
        <f>'Aggregate, Plant Pick-up'!F24</f>
        <v>No. 57</v>
      </c>
      <c r="D95" s="55" t="str">
        <f>'Aggregate, Plant Pick-up'!$I$7</f>
        <v>Slag*</v>
      </c>
    </row>
    <row r="96" spans="1:4" ht="12.75" customHeight="1" x14ac:dyDescent="0.15">
      <c r="A96" s="58">
        <f>'Aggregate, Plant Pick-up'!I25</f>
        <v>0</v>
      </c>
      <c r="B96" s="58">
        <f>'Aggregate, Plant Pick-up'!G25</f>
        <v>703.04</v>
      </c>
      <c r="C96" s="55">
        <f>'Aggregate, Plant Pick-up'!F25</f>
        <v>0</v>
      </c>
      <c r="D96" s="55" t="str">
        <f>'Aggregate, Plant Pick-up'!$I$7</f>
        <v>Slag*</v>
      </c>
    </row>
    <row r="97" spans="1:4" ht="12.75" customHeight="1" x14ac:dyDescent="0.15">
      <c r="A97" s="58">
        <f>'Aggregate, Plant Pick-up'!I26</f>
        <v>0</v>
      </c>
      <c r="B97" s="58">
        <f>'Aggregate, Plant Pick-up'!G26</f>
        <v>703.05</v>
      </c>
      <c r="C97" s="55">
        <f>'Aggregate, Plant Pick-up'!F26</f>
        <v>0</v>
      </c>
      <c r="D97" s="55" t="str">
        <f>'Aggregate, Plant Pick-up'!$I$7</f>
        <v>Slag*</v>
      </c>
    </row>
    <row r="98" spans="1:4" ht="12.75" customHeight="1" x14ac:dyDescent="0.15">
      <c r="A98" s="58">
        <f>'Aggregate, Plant Pick-up'!I27</f>
        <v>0</v>
      </c>
      <c r="B98" s="58">
        <f>'Aggregate, Plant Pick-up'!G27</f>
        <v>703.02</v>
      </c>
      <c r="C98" s="55" t="str">
        <f>'Aggregate, Plant Pick-up'!F27</f>
        <v>No. 6</v>
      </c>
      <c r="D98" s="55" t="str">
        <f>'Aggregate, Plant Pick-up'!$I$7</f>
        <v>Slag*</v>
      </c>
    </row>
    <row r="99" spans="1:4" ht="12.75" customHeight="1" x14ac:dyDescent="0.15">
      <c r="A99" s="58">
        <f>'Aggregate, Plant Pick-up'!I28</f>
        <v>0</v>
      </c>
      <c r="B99" s="58">
        <f>'Aggregate, Plant Pick-up'!G28</f>
        <v>703.04</v>
      </c>
      <c r="C99" s="55">
        <f>'Aggregate, Plant Pick-up'!F28</f>
        <v>0</v>
      </c>
      <c r="D99" s="55" t="str">
        <f>'Aggregate, Plant Pick-up'!$I$7</f>
        <v>Slag*</v>
      </c>
    </row>
    <row r="100" spans="1:4" ht="12.75" customHeight="1" x14ac:dyDescent="0.15">
      <c r="A100" s="58">
        <f>'Aggregate, Plant Pick-up'!I29</f>
        <v>0</v>
      </c>
      <c r="B100" s="58">
        <f>'Aggregate, Plant Pick-up'!G29</f>
        <v>703.05</v>
      </c>
      <c r="C100" s="55">
        <f>'Aggregate, Plant Pick-up'!F29</f>
        <v>0</v>
      </c>
      <c r="D100" s="55" t="str">
        <f>'Aggregate, Plant Pick-up'!$I$7</f>
        <v>Slag*</v>
      </c>
    </row>
    <row r="101" spans="1:4" ht="12.75" customHeight="1" x14ac:dyDescent="0.15">
      <c r="A101" s="58">
        <f>'Aggregate, Plant Pick-up'!I30</f>
        <v>0</v>
      </c>
      <c r="B101" s="58">
        <f>'Aggregate, Plant Pick-up'!G30</f>
        <v>703.02</v>
      </c>
      <c r="C101" s="55" t="str">
        <f>'Aggregate, Plant Pick-up'!F30</f>
        <v>No. 67</v>
      </c>
      <c r="D101" s="55" t="str">
        <f>'Aggregate, Plant Pick-up'!$I$7</f>
        <v>Slag*</v>
      </c>
    </row>
    <row r="102" spans="1:4" ht="12.75" customHeight="1" x14ac:dyDescent="0.15">
      <c r="A102" s="58">
        <f>'Aggregate, Plant Pick-up'!I31</f>
        <v>0</v>
      </c>
      <c r="B102" s="58">
        <f>'Aggregate, Plant Pick-up'!G31</f>
        <v>703.04</v>
      </c>
      <c r="C102" s="55">
        <f>'Aggregate, Plant Pick-up'!F31</f>
        <v>0</v>
      </c>
      <c r="D102" s="55" t="str">
        <f>'Aggregate, Plant Pick-up'!$I$7</f>
        <v>Slag*</v>
      </c>
    </row>
    <row r="103" spans="1:4" ht="12.75" customHeight="1" x14ac:dyDescent="0.15">
      <c r="A103" s="58">
        <f>'Aggregate, Plant Pick-up'!I32</f>
        <v>0</v>
      </c>
      <c r="B103" s="58">
        <f>'Aggregate, Plant Pick-up'!G32</f>
        <v>703.05</v>
      </c>
      <c r="C103" s="55">
        <f>'Aggregate, Plant Pick-up'!F32</f>
        <v>0</v>
      </c>
      <c r="D103" s="55" t="str">
        <f>'Aggregate, Plant Pick-up'!$I$7</f>
        <v>Slag*</v>
      </c>
    </row>
    <row r="104" spans="1:4" ht="12.75" customHeight="1" x14ac:dyDescent="0.15">
      <c r="A104" s="58">
        <f>'Aggregate, Plant Pick-up'!I33</f>
        <v>0</v>
      </c>
      <c r="B104" s="58">
        <f>'Aggregate, Plant Pick-up'!G33</f>
        <v>422.02</v>
      </c>
      <c r="C104" s="55">
        <f>'Aggregate, Plant Pick-up'!F33</f>
        <v>0</v>
      </c>
      <c r="D104" s="55" t="str">
        <f>'Aggregate, Plant Pick-up'!$I$7</f>
        <v>Slag*</v>
      </c>
    </row>
    <row r="105" spans="1:4" ht="12.75" customHeight="1" x14ac:dyDescent="0.15">
      <c r="A105" s="58">
        <f>'Aggregate, Plant Pick-up'!I34</f>
        <v>0</v>
      </c>
      <c r="B105" s="58">
        <f>'Aggregate, Plant Pick-up'!G34</f>
        <v>703.02</v>
      </c>
      <c r="C105" s="55" t="str">
        <f>'Aggregate, Plant Pick-up'!F34</f>
        <v>No. 8</v>
      </c>
      <c r="D105" s="55" t="str">
        <f>'Aggregate, Plant Pick-up'!$I$7</f>
        <v>Slag*</v>
      </c>
    </row>
    <row r="106" spans="1:4" ht="12.75" customHeight="1" x14ac:dyDescent="0.15">
      <c r="A106" s="58">
        <f>'Aggregate, Plant Pick-up'!I35</f>
        <v>0</v>
      </c>
      <c r="B106" s="58">
        <f>'Aggregate, Plant Pick-up'!G35</f>
        <v>703.04</v>
      </c>
      <c r="C106" s="55">
        <f>'Aggregate, Plant Pick-up'!F35</f>
        <v>0</v>
      </c>
      <c r="D106" s="55" t="str">
        <f>'Aggregate, Plant Pick-up'!$I$7</f>
        <v>Slag*</v>
      </c>
    </row>
    <row r="107" spans="1:4" ht="12.75" customHeight="1" x14ac:dyDescent="0.15">
      <c r="A107" s="58">
        <f>'Aggregate, Plant Pick-up'!I36</f>
        <v>0</v>
      </c>
      <c r="B107" s="58">
        <f>'Aggregate, Plant Pick-up'!G36</f>
        <v>703.05</v>
      </c>
      <c r="C107" s="55">
        <f>'Aggregate, Plant Pick-up'!F36</f>
        <v>0</v>
      </c>
      <c r="D107" s="55" t="str">
        <f>'Aggregate, Plant Pick-up'!$I$7</f>
        <v>Slag*</v>
      </c>
    </row>
    <row r="108" spans="1:4" ht="12.75" customHeight="1" x14ac:dyDescent="0.15">
      <c r="A108" s="58">
        <f>'Aggregate, Plant Pick-up'!I37</f>
        <v>0</v>
      </c>
      <c r="B108" s="58">
        <f>'Aggregate, Plant Pick-up'!G37</f>
        <v>703.02</v>
      </c>
      <c r="C108" s="55" t="str">
        <f>'Aggregate, Plant Pick-up'!F37</f>
        <v>No. 9</v>
      </c>
      <c r="D108" s="55" t="str">
        <f>'Aggregate, Plant Pick-up'!$I$7</f>
        <v>Slag*</v>
      </c>
    </row>
    <row r="109" spans="1:4" ht="12.75" customHeight="1" x14ac:dyDescent="0.15">
      <c r="A109" s="58">
        <f>'Aggregate, Plant Pick-up'!I38</f>
        <v>0</v>
      </c>
      <c r="B109" s="58">
        <f>'Aggregate, Plant Pick-up'!G38</f>
        <v>703.04</v>
      </c>
      <c r="C109" s="55">
        <f>'Aggregate, Plant Pick-up'!F38</f>
        <v>0</v>
      </c>
      <c r="D109" s="55" t="str">
        <f>'Aggregate, Plant Pick-up'!$I$7</f>
        <v>Slag*</v>
      </c>
    </row>
    <row r="110" spans="1:4" ht="12.75" customHeight="1" x14ac:dyDescent="0.15">
      <c r="A110" s="58">
        <f>'Aggregate, Plant Pick-up'!I39</f>
        <v>0</v>
      </c>
      <c r="B110" s="58">
        <f>'Aggregate, Plant Pick-up'!G39</f>
        <v>703.05</v>
      </c>
      <c r="C110" s="55">
        <f>'Aggregate, Plant Pick-up'!F39</f>
        <v>0</v>
      </c>
      <c r="D110" s="55" t="str">
        <f>'Aggregate, Plant Pick-up'!$I$7</f>
        <v>Slag*</v>
      </c>
    </row>
    <row r="111" spans="1:4" ht="12.75" customHeight="1" x14ac:dyDescent="0.15">
      <c r="A111" s="58">
        <f>'Aggregate, Plant Pick-up'!J9</f>
        <v>0</v>
      </c>
      <c r="B111" s="58">
        <f>'Aggregate, Plant Pick-up'!G9</f>
        <v>703.02</v>
      </c>
      <c r="C111" s="55" t="str">
        <f>'Aggregate, Plant Pick-up'!F9</f>
        <v>No. 1</v>
      </c>
      <c r="D111" s="55" t="str">
        <f>'Aggregate, Plant Pick-up'!$J$7</f>
        <v>Gravel</v>
      </c>
    </row>
    <row r="112" spans="1:4" ht="12.75" customHeight="1" x14ac:dyDescent="0.15">
      <c r="A112" s="58">
        <f>'Aggregate, Plant Pick-up'!J10</f>
        <v>0</v>
      </c>
      <c r="B112" s="58">
        <f>'Aggregate, Plant Pick-up'!G10</f>
        <v>703.04</v>
      </c>
      <c r="C112" s="55">
        <f>'Aggregate, Plant Pick-up'!F10</f>
        <v>0</v>
      </c>
      <c r="D112" s="55" t="str">
        <f>'Aggregate, Plant Pick-up'!$J$7</f>
        <v>Gravel</v>
      </c>
    </row>
    <row r="113" spans="1:4" ht="12.75" customHeight="1" x14ac:dyDescent="0.15">
      <c r="A113" s="58">
        <f>'Aggregate, Plant Pick-up'!J11</f>
        <v>0</v>
      </c>
      <c r="B113" s="58">
        <f>'Aggregate, Plant Pick-up'!G11</f>
        <v>703.05</v>
      </c>
      <c r="C113" s="55">
        <f>'Aggregate, Plant Pick-up'!F11</f>
        <v>0</v>
      </c>
      <c r="D113" s="55" t="str">
        <f>'Aggregate, Plant Pick-up'!$J$7</f>
        <v>Gravel</v>
      </c>
    </row>
    <row r="114" spans="1:4" ht="12.75" customHeight="1" x14ac:dyDescent="0.15">
      <c r="A114" s="58">
        <f>'Aggregate, Plant Pick-up'!J12</f>
        <v>0</v>
      </c>
      <c r="B114" s="58">
        <f>'Aggregate, Plant Pick-up'!G12</f>
        <v>703.02</v>
      </c>
      <c r="C114" s="55" t="str">
        <f>'Aggregate, Plant Pick-up'!F12</f>
        <v>No. 2</v>
      </c>
      <c r="D114" s="55" t="str">
        <f>'Aggregate, Plant Pick-up'!$J$7</f>
        <v>Gravel</v>
      </c>
    </row>
    <row r="115" spans="1:4" ht="12.75" customHeight="1" x14ac:dyDescent="0.15">
      <c r="A115" s="58">
        <f>'Aggregate, Plant Pick-up'!J13</f>
        <v>0</v>
      </c>
      <c r="B115" s="58">
        <f>'Aggregate, Plant Pick-up'!G13</f>
        <v>703.04</v>
      </c>
      <c r="C115" s="55">
        <f>'Aggregate, Plant Pick-up'!F13</f>
        <v>0</v>
      </c>
      <c r="D115" s="55" t="str">
        <f>'Aggregate, Plant Pick-up'!$J$7</f>
        <v>Gravel</v>
      </c>
    </row>
    <row r="116" spans="1:4" ht="12.75" customHeight="1" x14ac:dyDescent="0.15">
      <c r="A116" s="58">
        <f>'Aggregate, Plant Pick-up'!J14</f>
        <v>0</v>
      </c>
      <c r="B116" s="58">
        <f>'Aggregate, Plant Pick-up'!G14</f>
        <v>703.05</v>
      </c>
      <c r="C116" s="55">
        <f>'Aggregate, Plant Pick-up'!F14</f>
        <v>0</v>
      </c>
      <c r="D116" s="55" t="str">
        <f>'Aggregate, Plant Pick-up'!$J$7</f>
        <v>Gravel</v>
      </c>
    </row>
    <row r="117" spans="1:4" ht="12.75" customHeight="1" x14ac:dyDescent="0.15">
      <c r="A117" s="58">
        <f>'Aggregate, Plant Pick-up'!J15</f>
        <v>0</v>
      </c>
      <c r="B117" s="58">
        <f>'Aggregate, Plant Pick-up'!G15</f>
        <v>703.02</v>
      </c>
      <c r="C117" s="55" t="str">
        <f>'Aggregate, Plant Pick-up'!F15</f>
        <v>No. 3</v>
      </c>
      <c r="D117" s="55" t="str">
        <f>'Aggregate, Plant Pick-up'!$J$7</f>
        <v>Gravel</v>
      </c>
    </row>
    <row r="118" spans="1:4" ht="12.75" customHeight="1" x14ac:dyDescent="0.15">
      <c r="A118" s="58">
        <f>'Aggregate, Plant Pick-up'!J16</f>
        <v>0</v>
      </c>
      <c r="B118" s="58">
        <f>'Aggregate, Plant Pick-up'!G16</f>
        <v>703.04</v>
      </c>
      <c r="C118" s="55">
        <f>'Aggregate, Plant Pick-up'!F16</f>
        <v>0</v>
      </c>
      <c r="D118" s="55" t="str">
        <f>'Aggregate, Plant Pick-up'!$J$7</f>
        <v>Gravel</v>
      </c>
    </row>
    <row r="119" spans="1:4" ht="12.75" customHeight="1" x14ac:dyDescent="0.15">
      <c r="A119" s="58">
        <f>'Aggregate, Plant Pick-up'!J17</f>
        <v>0</v>
      </c>
      <c r="B119" s="58">
        <f>'Aggregate, Plant Pick-up'!G17</f>
        <v>703.05</v>
      </c>
      <c r="C119" s="55">
        <f>'Aggregate, Plant Pick-up'!F17</f>
        <v>0</v>
      </c>
      <c r="D119" s="55" t="str">
        <f>'Aggregate, Plant Pick-up'!$J$7</f>
        <v>Gravel</v>
      </c>
    </row>
    <row r="120" spans="1:4" ht="12.75" customHeight="1" x14ac:dyDescent="0.15">
      <c r="A120" s="58">
        <f>'Aggregate, Plant Pick-up'!J18</f>
        <v>0</v>
      </c>
      <c r="B120" s="58">
        <f>'Aggregate, Plant Pick-up'!G18</f>
        <v>703.02</v>
      </c>
      <c r="C120" s="55" t="str">
        <f>'Aggregate, Plant Pick-up'!F18</f>
        <v>No. 4</v>
      </c>
      <c r="D120" s="55" t="str">
        <f>'Aggregate, Plant Pick-up'!$J$7</f>
        <v>Gravel</v>
      </c>
    </row>
    <row r="121" spans="1:4" ht="12.75" customHeight="1" x14ac:dyDescent="0.15">
      <c r="A121" s="58">
        <f>'Aggregate, Plant Pick-up'!J19</f>
        <v>0</v>
      </c>
      <c r="B121" s="58">
        <f>'Aggregate, Plant Pick-up'!G19</f>
        <v>703.04</v>
      </c>
      <c r="C121" s="55">
        <f>'Aggregate, Plant Pick-up'!F19</f>
        <v>0</v>
      </c>
      <c r="D121" s="55" t="str">
        <f>'Aggregate, Plant Pick-up'!$J$7</f>
        <v>Gravel</v>
      </c>
    </row>
    <row r="122" spans="1:4" ht="12.75" customHeight="1" x14ac:dyDescent="0.15">
      <c r="A122" s="58">
        <f>'Aggregate, Plant Pick-up'!J20</f>
        <v>0</v>
      </c>
      <c r="B122" s="58">
        <f>'Aggregate, Plant Pick-up'!G20</f>
        <v>703.05</v>
      </c>
      <c r="C122" s="55">
        <f>'Aggregate, Plant Pick-up'!F20</f>
        <v>0</v>
      </c>
      <c r="D122" s="55" t="str">
        <f>'Aggregate, Plant Pick-up'!$J$7</f>
        <v>Gravel</v>
      </c>
    </row>
    <row r="123" spans="1:4" ht="12.75" customHeight="1" x14ac:dyDescent="0.15">
      <c r="A123" s="58">
        <f>'Aggregate, Plant Pick-up'!J21</f>
        <v>0</v>
      </c>
      <c r="B123" s="58">
        <f>'Aggregate, Plant Pick-up'!G21</f>
        <v>703.02</v>
      </c>
      <c r="C123" s="55" t="str">
        <f>'Aggregate, Plant Pick-up'!F21</f>
        <v>No. 467</v>
      </c>
      <c r="D123" s="55" t="str">
        <f>'Aggregate, Plant Pick-up'!$J$7</f>
        <v>Gravel</v>
      </c>
    </row>
    <row r="124" spans="1:4" ht="12.75" customHeight="1" x14ac:dyDescent="0.15">
      <c r="A124" s="58">
        <f>'Aggregate, Plant Pick-up'!J22</f>
        <v>0</v>
      </c>
      <c r="B124" s="58">
        <f>'Aggregate, Plant Pick-up'!G22</f>
        <v>703.04</v>
      </c>
      <c r="C124" s="55">
        <f>'Aggregate, Plant Pick-up'!F22</f>
        <v>0</v>
      </c>
      <c r="D124" s="55" t="str">
        <f>'Aggregate, Plant Pick-up'!$J$7</f>
        <v>Gravel</v>
      </c>
    </row>
    <row r="125" spans="1:4" ht="12.75" customHeight="1" x14ac:dyDescent="0.15">
      <c r="A125" s="58">
        <f>'Aggregate, Plant Pick-up'!J23</f>
        <v>0</v>
      </c>
      <c r="B125" s="58">
        <f>'Aggregate, Plant Pick-up'!G23</f>
        <v>703.05</v>
      </c>
      <c r="C125" s="55">
        <f>'Aggregate, Plant Pick-up'!F23</f>
        <v>0</v>
      </c>
      <c r="D125" s="55" t="str">
        <f>'Aggregate, Plant Pick-up'!$J$7</f>
        <v>Gravel</v>
      </c>
    </row>
    <row r="126" spans="1:4" ht="12.75" customHeight="1" x14ac:dyDescent="0.15">
      <c r="A126" s="58">
        <f>'Aggregate, Plant Pick-up'!J24</f>
        <v>0</v>
      </c>
      <c r="B126" s="58">
        <f>'Aggregate, Plant Pick-up'!G24</f>
        <v>703.02</v>
      </c>
      <c r="C126" s="55" t="str">
        <f>'Aggregate, Plant Pick-up'!F24</f>
        <v>No. 57</v>
      </c>
      <c r="D126" s="55" t="str">
        <f>'Aggregate, Plant Pick-up'!$J$7</f>
        <v>Gravel</v>
      </c>
    </row>
    <row r="127" spans="1:4" ht="12.75" customHeight="1" x14ac:dyDescent="0.15">
      <c r="A127" s="58">
        <f>'Aggregate, Plant Pick-up'!J25</f>
        <v>0</v>
      </c>
      <c r="B127" s="58">
        <f>'Aggregate, Plant Pick-up'!G25</f>
        <v>703.04</v>
      </c>
      <c r="C127" s="55">
        <f>'Aggregate, Plant Pick-up'!F25</f>
        <v>0</v>
      </c>
      <c r="D127" s="55" t="str">
        <f>'Aggregate, Plant Pick-up'!$J$7</f>
        <v>Gravel</v>
      </c>
    </row>
    <row r="128" spans="1:4" ht="12.75" customHeight="1" x14ac:dyDescent="0.15">
      <c r="A128" s="58">
        <f>'Aggregate, Plant Pick-up'!J26</f>
        <v>0</v>
      </c>
      <c r="B128" s="58">
        <f>'Aggregate, Plant Pick-up'!G26</f>
        <v>703.05</v>
      </c>
      <c r="C128" s="55">
        <f>'Aggregate, Plant Pick-up'!F26</f>
        <v>0</v>
      </c>
      <c r="D128" s="55" t="str">
        <f>'Aggregate, Plant Pick-up'!$J$7</f>
        <v>Gravel</v>
      </c>
    </row>
    <row r="129" spans="1:15" ht="12.75" customHeight="1" x14ac:dyDescent="0.15">
      <c r="A129" s="58">
        <f>'Aggregate, Plant Pick-up'!J27</f>
        <v>0</v>
      </c>
      <c r="B129" s="58">
        <f>'Aggregate, Plant Pick-up'!G27</f>
        <v>703.02</v>
      </c>
      <c r="C129" s="55" t="str">
        <f>'Aggregate, Plant Pick-up'!F27</f>
        <v>No. 6</v>
      </c>
      <c r="D129" s="55" t="str">
        <f>'Aggregate, Plant Pick-up'!$J$7</f>
        <v>Gravel</v>
      </c>
    </row>
    <row r="130" spans="1:15" ht="12.75" customHeight="1" x14ac:dyDescent="0.15">
      <c r="A130" s="58">
        <f>'Aggregate, Plant Pick-up'!J28</f>
        <v>0</v>
      </c>
      <c r="B130" s="58">
        <f>'Aggregate, Plant Pick-up'!G28</f>
        <v>703.04</v>
      </c>
      <c r="C130" s="55">
        <f>'Aggregate, Plant Pick-up'!F28</f>
        <v>0</v>
      </c>
      <c r="D130" s="55" t="str">
        <f>'Aggregate, Plant Pick-up'!$J$7</f>
        <v>Gravel</v>
      </c>
    </row>
    <row r="131" spans="1:15" ht="12.75" customHeight="1" x14ac:dyDescent="0.15">
      <c r="A131" s="58">
        <f>'Aggregate, Plant Pick-up'!J29</f>
        <v>0</v>
      </c>
      <c r="B131" s="58">
        <f>'Aggregate, Plant Pick-up'!G29</f>
        <v>703.05</v>
      </c>
      <c r="C131" s="55">
        <f>'Aggregate, Plant Pick-up'!F29</f>
        <v>0</v>
      </c>
      <c r="D131" s="55" t="str">
        <f>'Aggregate, Plant Pick-up'!$J$7</f>
        <v>Gravel</v>
      </c>
    </row>
    <row r="132" spans="1:15" ht="12.75" customHeight="1" x14ac:dyDescent="0.15">
      <c r="A132" s="58">
        <f>'Aggregate, Plant Pick-up'!J30</f>
        <v>0</v>
      </c>
      <c r="B132" s="58">
        <f>'Aggregate, Plant Pick-up'!G30</f>
        <v>703.02</v>
      </c>
      <c r="C132" s="55" t="str">
        <f>'Aggregate, Plant Pick-up'!F30</f>
        <v>No. 67</v>
      </c>
      <c r="D132" s="55" t="str">
        <f>'Aggregate, Plant Pick-up'!$J$7</f>
        <v>Gravel</v>
      </c>
    </row>
    <row r="133" spans="1:15" ht="12.75" customHeight="1" x14ac:dyDescent="0.15">
      <c r="A133" s="58">
        <f>'Aggregate, Plant Pick-up'!J31</f>
        <v>0</v>
      </c>
      <c r="B133" s="58">
        <f>'Aggregate, Plant Pick-up'!G31</f>
        <v>703.04</v>
      </c>
      <c r="C133" s="55">
        <f>'Aggregate, Plant Pick-up'!F31</f>
        <v>0</v>
      </c>
      <c r="D133" s="55" t="str">
        <f>'Aggregate, Plant Pick-up'!$J$7</f>
        <v>Gravel</v>
      </c>
    </row>
    <row r="134" spans="1:15" ht="12.75" customHeight="1" x14ac:dyDescent="0.15">
      <c r="A134" s="58">
        <f>'Aggregate, Plant Pick-up'!J32</f>
        <v>0</v>
      </c>
      <c r="B134" s="58">
        <f>'Aggregate, Plant Pick-up'!G32</f>
        <v>703.05</v>
      </c>
      <c r="C134" s="55">
        <f>'Aggregate, Plant Pick-up'!F32</f>
        <v>0</v>
      </c>
      <c r="D134" s="55" t="str">
        <f>'Aggregate, Plant Pick-up'!$J$7</f>
        <v>Gravel</v>
      </c>
    </row>
    <row r="135" spans="1:15" ht="12.75" customHeight="1" x14ac:dyDescent="0.15">
      <c r="A135" s="58">
        <f>'Aggregate, Plant Pick-up'!J33</f>
        <v>0</v>
      </c>
      <c r="B135" s="58">
        <f>'Aggregate, Plant Pick-up'!G33</f>
        <v>422.02</v>
      </c>
      <c r="C135" s="55">
        <f>'Aggregate, Plant Pick-up'!F33</f>
        <v>0</v>
      </c>
      <c r="D135" s="55" t="str">
        <f>'Aggregate, Plant Pick-up'!$J$7</f>
        <v>Gravel</v>
      </c>
    </row>
    <row r="136" spans="1:15" ht="12.75" customHeight="1" x14ac:dyDescent="0.15">
      <c r="A136" s="58">
        <f>'Aggregate, Plant Pick-up'!J34</f>
        <v>0</v>
      </c>
      <c r="B136" s="58">
        <f>'Aggregate, Plant Pick-up'!G34</f>
        <v>703.02</v>
      </c>
      <c r="C136" s="55" t="str">
        <f>'Aggregate, Plant Pick-up'!F34</f>
        <v>No. 8</v>
      </c>
      <c r="D136" s="55" t="str">
        <f>'Aggregate, Plant Pick-up'!$J$7</f>
        <v>Gravel</v>
      </c>
    </row>
    <row r="137" spans="1:15" ht="12.75" customHeight="1" x14ac:dyDescent="0.15">
      <c r="A137" s="58">
        <f>'Aggregate, Plant Pick-up'!J35</f>
        <v>0</v>
      </c>
      <c r="B137" s="58">
        <f>'Aggregate, Plant Pick-up'!G35</f>
        <v>703.04</v>
      </c>
      <c r="C137" s="55">
        <f>'Aggregate, Plant Pick-up'!F35</f>
        <v>0</v>
      </c>
      <c r="D137" s="55" t="str">
        <f>'Aggregate, Plant Pick-up'!$J$7</f>
        <v>Gravel</v>
      </c>
    </row>
    <row r="138" spans="1:15" ht="12.75" customHeight="1" x14ac:dyDescent="0.15">
      <c r="A138" s="58">
        <f>'Aggregate, Plant Pick-up'!J36</f>
        <v>0</v>
      </c>
      <c r="B138" s="58">
        <f>'Aggregate, Plant Pick-up'!G36</f>
        <v>703.05</v>
      </c>
      <c r="C138" s="55">
        <f>'Aggregate, Plant Pick-up'!F36</f>
        <v>0</v>
      </c>
      <c r="D138" s="55" t="str">
        <f>'Aggregate, Plant Pick-up'!$J$7</f>
        <v>Gravel</v>
      </c>
    </row>
    <row r="139" spans="1:15" ht="12.75" customHeight="1" x14ac:dyDescent="0.15">
      <c r="A139" s="58">
        <f>'Aggregate, Plant Pick-up'!J37</f>
        <v>0</v>
      </c>
      <c r="B139" s="58">
        <f>'Aggregate, Plant Pick-up'!G37</f>
        <v>703.02</v>
      </c>
      <c r="C139" s="55" t="str">
        <f>'Aggregate, Plant Pick-up'!F37</f>
        <v>No. 9</v>
      </c>
      <c r="D139" s="55" t="str">
        <f>'Aggregate, Plant Pick-up'!$J$7</f>
        <v>Gravel</v>
      </c>
    </row>
    <row r="140" spans="1:15" ht="12.75" customHeight="1" x14ac:dyDescent="0.15">
      <c r="A140" s="58">
        <f>'Aggregate, Plant Pick-up'!J38</f>
        <v>0</v>
      </c>
      <c r="B140" s="58">
        <f>'Aggregate, Plant Pick-up'!G38</f>
        <v>703.04</v>
      </c>
      <c r="C140" s="55">
        <f>'Aggregate, Plant Pick-up'!F38</f>
        <v>0</v>
      </c>
      <c r="D140" s="55" t="str">
        <f>'Aggregate, Plant Pick-up'!$J$7</f>
        <v>Gravel</v>
      </c>
    </row>
    <row r="141" spans="1:15" ht="12.75" customHeight="1" x14ac:dyDescent="0.15">
      <c r="A141" s="58">
        <f>'Aggregate, Plant Pick-up'!J39</f>
        <v>0</v>
      </c>
      <c r="B141" s="58">
        <f>'Aggregate, Plant Pick-up'!G39</f>
        <v>703.05</v>
      </c>
      <c r="C141" s="55">
        <f>'Aggregate, Plant Pick-up'!F39</f>
        <v>0</v>
      </c>
      <c r="D141" s="55" t="str">
        <f>'Aggregate, Plant Pick-up'!$J$7</f>
        <v>Gravel</v>
      </c>
    </row>
    <row r="142" spans="1:15" ht="12.75" customHeight="1" x14ac:dyDescent="0.15">
      <c r="A142" s="59">
        <f>' HAULING RATES- Other Locations'!B12</f>
        <v>6</v>
      </c>
      <c r="B142" s="59" t="str">
        <f>' HAULING RATES- Other Locations'!A12</f>
        <v>No.1 Material and Smaller  (for the First 5 Miles of the Haul Distance (Per Ton)</v>
      </c>
      <c r="C142" s="59"/>
      <c r="D142" s="59"/>
      <c r="E142" s="59"/>
      <c r="F142" s="59"/>
      <c r="G142" s="59"/>
      <c r="H142" s="59"/>
      <c r="I142" s="59"/>
      <c r="J142" s="59"/>
      <c r="K142" s="59"/>
      <c r="L142" s="59"/>
      <c r="M142" s="59"/>
      <c r="N142" s="59"/>
      <c r="O142" s="59"/>
    </row>
    <row r="143" spans="1:15" ht="12.75" customHeight="1" x14ac:dyDescent="0.15">
      <c r="A143" s="55" t="str">
        <f>' HAULING RATES- Other Locations'!B13</f>
        <v>Yes</v>
      </c>
      <c r="B143" s="55" t="str">
        <f>' HAULING RATES- Other Locations'!A13</f>
        <v xml:space="preserve">Do you require a minimum tonnage per delivery?  </v>
      </c>
    </row>
    <row r="144" spans="1:15" ht="12.75" customHeight="1" x14ac:dyDescent="0.15">
      <c r="A144" s="55">
        <f>' HAULING RATES- Other Locations'!B14</f>
        <v>18</v>
      </c>
      <c r="B144" s="55" t="str">
        <f>' HAULING RATES- Other Locations'!A14</f>
        <v>If you marked yes, specify minimum tonnage per delivery (in Tons)</v>
      </c>
    </row>
    <row r="145" spans="1:15" ht="12.75" customHeight="1" x14ac:dyDescent="0.15">
      <c r="A145" s="55">
        <f>' HAULING RATES- Other Locations'!B16</f>
        <v>2</v>
      </c>
      <c r="B145" s="55" t="str">
        <f>' HAULING RATES- Other Locations'!A16</f>
        <v>No.1 material and smaller for the Haul Distance from Mile 5 to the Destination (Per Ton Mile)</v>
      </c>
    </row>
    <row r="146" spans="1:15" ht="12.75" customHeight="1" x14ac:dyDescent="0.15">
      <c r="A146" s="55" t="str">
        <f>' HAULING RATES- Other Locations'!B17</f>
        <v>No</v>
      </c>
      <c r="B146" s="55" t="str">
        <f>' HAULING RATES- Other Locations'!A17</f>
        <v>Do you require a minimum tonnage per delivery?</v>
      </c>
    </row>
    <row r="147" spans="1:15" ht="12.75" customHeight="1" x14ac:dyDescent="0.15">
      <c r="A147" s="55">
        <f>' HAULING RATES- Other Locations'!B18</f>
        <v>0</v>
      </c>
      <c r="B147" s="55" t="str">
        <f>' HAULING RATES- Other Locations'!A18</f>
        <v>If you marked yes, specify minimum tonnage per delivery (In Tons)</v>
      </c>
    </row>
    <row r="148" spans="1:15" ht="12.75" customHeight="1" x14ac:dyDescent="0.15">
      <c r="A148" s="58">
        <f>' HAULING RATES- Other Locations'!B20</f>
        <v>10</v>
      </c>
      <c r="B148" s="58" t="str">
        <f>' HAULING RATES- Other Locations'!A20</f>
        <v>Dump Rock Fill Material (for the First 5 Miles of the Haul Distance (Per Ton)</v>
      </c>
    </row>
    <row r="149" spans="1:15" ht="12.75" customHeight="1" x14ac:dyDescent="0.15">
      <c r="A149" s="58" t="str">
        <f>' HAULING RATES- Other Locations'!B21</f>
        <v>Yes</v>
      </c>
      <c r="B149" s="58" t="str">
        <f>' HAULING RATES- Other Locations'!A21</f>
        <v>Do you require a minimum tonnage per delivery?</v>
      </c>
    </row>
    <row r="150" spans="1:15" ht="12.75" customHeight="1" x14ac:dyDescent="0.15">
      <c r="A150" s="58">
        <f>' HAULING RATES- Other Locations'!B22</f>
        <v>12</v>
      </c>
      <c r="B150" s="58" t="str">
        <f>' HAULING RATES- Other Locations'!A22</f>
        <v>If you marked yes, specify minimum tonnage per delivery (In Tons)</v>
      </c>
    </row>
    <row r="151" spans="1:15" ht="12.75" customHeight="1" x14ac:dyDescent="0.15">
      <c r="A151" s="58">
        <f>' HAULING RATES- Other Locations'!B24</f>
        <v>2</v>
      </c>
      <c r="B151" s="58" t="str">
        <f>' HAULING RATES- Other Locations'!A24</f>
        <v>Dump Rock Fill Material for the Haul Distance from Mile 5 to the Destination (Per Ton Mile)</v>
      </c>
    </row>
    <row r="152" spans="1:15" ht="12.75" customHeight="1" x14ac:dyDescent="0.15">
      <c r="A152" s="58" t="str">
        <f>' HAULING RATES- Other Locations'!B25</f>
        <v>No</v>
      </c>
      <c r="B152" s="58" t="str">
        <f>' HAULING RATES- Other Locations'!A25</f>
        <v>Do you require a minimum tonnage per delivery?</v>
      </c>
    </row>
    <row r="153" spans="1:15" ht="12.75" customHeight="1" x14ac:dyDescent="0.15">
      <c r="A153" s="58">
        <f>' HAULING RATES- Other Locations'!B26</f>
        <v>0</v>
      </c>
      <c r="B153" s="58" t="str">
        <f>' HAULING RATES- Other Locations'!A26</f>
        <v>If you marked yes, specify minimum tonnage per delivery  (In Tons)</v>
      </c>
    </row>
    <row r="154" spans="1:15" ht="12.75" customHeight="1" x14ac:dyDescent="0.15">
      <c r="A154" s="60">
        <f>' HAULING RATES- Other Locations'!B28</f>
        <v>4.9000000000000004</v>
      </c>
      <c r="B154" s="60" t="str">
        <f>' HAULING RATES- Other Locations'!A28</f>
        <v>Transport salt from one ODOT storage location to another ODOT storage location  (Per Ton Mile)</v>
      </c>
      <c r="C154" s="59"/>
      <c r="D154" s="59"/>
      <c r="E154" s="59"/>
      <c r="F154" s="59"/>
      <c r="G154" s="59"/>
      <c r="H154" s="59"/>
      <c r="I154" s="59"/>
      <c r="J154" s="59"/>
      <c r="K154" s="59"/>
      <c r="L154" s="59"/>
      <c r="M154" s="59"/>
      <c r="N154" s="59"/>
      <c r="O154" s="59"/>
    </row>
    <row r="155" spans="1:15" ht="12.75" customHeight="1" x14ac:dyDescent="0.15">
      <c r="A155" s="58" t="e">
        <f>'HAULING RATES- ODOT Locations'!#REF!</f>
        <v>#REF!</v>
      </c>
      <c r="B155" s="58" t="e">
        <f>'HAULING RATES- ODOT Locations'!#REF!&amp;"-Stone"</f>
        <v>#REF!</v>
      </c>
    </row>
    <row r="156" spans="1:15" ht="12.75" customHeight="1" x14ac:dyDescent="0.15">
      <c r="A156" s="58">
        <f>'HAULING RATES- ODOT Locations'!$C$10</f>
        <v>0</v>
      </c>
      <c r="B156" s="58" t="str">
        <f>'HAULING RATES- ODOT Locations'!$A$10&amp;"-Stone"</f>
        <v>Defiance-Stone</v>
      </c>
    </row>
    <row r="157" spans="1:15" ht="12.75" customHeight="1" x14ac:dyDescent="0.15">
      <c r="A157" s="58">
        <f>'HAULING RATES- ODOT Locations'!$C$11</f>
        <v>0</v>
      </c>
      <c r="B157" s="58" t="str">
        <f>'HAULING RATES- ODOT Locations'!$A$11&amp;"-Stone"</f>
        <v>Hancock-Stone</v>
      </c>
    </row>
    <row r="158" spans="1:15" ht="12.75" customHeight="1" x14ac:dyDescent="0.15">
      <c r="A158" s="58">
        <f>'HAULING RATES- ODOT Locations'!$C$12</f>
        <v>0</v>
      </c>
      <c r="B158" s="58" t="str">
        <f>'HAULING RATES- ODOT Locations'!$A$12&amp;"-Stone"</f>
        <v>Hardin-Stone</v>
      </c>
    </row>
    <row r="159" spans="1:15" ht="12.75" customHeight="1" x14ac:dyDescent="0.15">
      <c r="A159" s="58">
        <f>'HAULING RATES- ODOT Locations'!$C$13</f>
        <v>0</v>
      </c>
      <c r="B159" s="58" t="str">
        <f>'HAULING RATES- ODOT Locations'!$A$13&amp;"-Stone"</f>
        <v>Paulding-Stone</v>
      </c>
    </row>
    <row r="160" spans="1:15" ht="12.75" customHeight="1" x14ac:dyDescent="0.15">
      <c r="A160" s="58" t="e">
        <f>'HAULING RATES- ODOT Locations'!#REF!</f>
        <v>#REF!</v>
      </c>
      <c r="B160" s="58" t="e">
        <f>'HAULING RATES- ODOT Locations'!#REF!&amp;"-Stone"</f>
        <v>#REF!</v>
      </c>
    </row>
    <row r="161" spans="1:2" ht="12.75" customHeight="1" x14ac:dyDescent="0.15">
      <c r="A161" s="58">
        <f>'HAULING RATES- ODOT Locations'!$C$15</f>
        <v>0</v>
      </c>
      <c r="B161" s="58" t="str">
        <f>'HAULING RATES- ODOT Locations'!$A$15&amp;"-Stone"</f>
        <v>Van Wert-Stone</v>
      </c>
    </row>
    <row r="162" spans="1:2" ht="12.75" customHeight="1" x14ac:dyDescent="0.15">
      <c r="A162" s="58" t="e">
        <f>'HAULING RATES- ODOT Locations'!#REF!</f>
        <v>#REF!</v>
      </c>
      <c r="B162" s="58" t="e">
        <f>'HAULING RATES- ODOT Locations'!#REF!&amp;"-Stone"</f>
        <v>#REF!</v>
      </c>
    </row>
    <row r="163" spans="1:2" ht="12.75" customHeight="1" x14ac:dyDescent="0.15">
      <c r="A163" s="58">
        <f>'HAULING RATES- ODOT Locations'!$C$20</f>
        <v>0</v>
      </c>
      <c r="B163" s="58" t="str">
        <f>'HAULING RATES- ODOT Locations'!$A$20&amp;"-Stone"</f>
        <v>Fulton-Stone</v>
      </c>
    </row>
    <row r="164" spans="1:2" ht="12.75" customHeight="1" x14ac:dyDescent="0.15">
      <c r="A164" s="58" t="e">
        <f>'HAULING RATES- ODOT Locations'!#REF!</f>
        <v>#REF!</v>
      </c>
      <c r="B164" s="58" t="e">
        <f>'HAULING RATES- ODOT Locations'!#REF!&amp;"-Stone"</f>
        <v>#REF!</v>
      </c>
    </row>
    <row r="165" spans="1:2" ht="12.75" customHeight="1" x14ac:dyDescent="0.15">
      <c r="A165" s="58" t="e">
        <f>'HAULING RATES- ODOT Locations'!#REF!</f>
        <v>#REF!</v>
      </c>
      <c r="B165" s="58" t="e">
        <f>'HAULING RATES- ODOT Locations'!#REF!&amp;"-Stone"</f>
        <v>#REF!</v>
      </c>
    </row>
    <row r="166" spans="1:2" ht="12.75" customHeight="1" x14ac:dyDescent="0.15">
      <c r="A166" s="58">
        <f>'HAULING RATES- ODOT Locations'!$C$23</f>
        <v>0</v>
      </c>
      <c r="B166" s="58" t="str">
        <f>'HAULING RATES- ODOT Locations'!$A$23&amp;"OAK-Stone"</f>
        <v>OttawaOAK-Stone</v>
      </c>
    </row>
    <row r="167" spans="1:2" ht="12.75" customHeight="1" x14ac:dyDescent="0.15">
      <c r="A167" s="58">
        <f>'HAULING RATES- ODOT Locations'!$C$24</f>
        <v>0</v>
      </c>
      <c r="B167" s="58" t="str">
        <f>'HAULING RATES- ODOT Locations'!$A$24&amp;"CLI-Stone"</f>
        <v>OttawaCLI-Stone</v>
      </c>
    </row>
    <row r="168" spans="1:2" ht="12.75" customHeight="1" x14ac:dyDescent="0.15">
      <c r="A168" s="58" t="e">
        <f>'HAULING RATES- ODOT Locations'!#REF!</f>
        <v>#REF!</v>
      </c>
      <c r="B168" s="58" t="e">
        <f>'HAULING RATES- ODOT Locations'!#REF!&amp;"-Stone"</f>
        <v>#REF!</v>
      </c>
    </row>
    <row r="169" spans="1:2" ht="12.75" customHeight="1" x14ac:dyDescent="0.15">
      <c r="A169" s="58">
        <f>'HAULING RATES- ODOT Locations'!$C$26</f>
        <v>0</v>
      </c>
      <c r="B169" s="58" t="str">
        <f>'HAULING RATES- ODOT Locations'!$A$26&amp;"-Stone"</f>
        <v>Seneca-Stone</v>
      </c>
    </row>
    <row r="170" spans="1:2" ht="12.75" customHeight="1" x14ac:dyDescent="0.15">
      <c r="A170" s="58">
        <f>'HAULING RATES- ODOT Locations'!$C$27</f>
        <v>0</v>
      </c>
      <c r="B170" s="58" t="str">
        <f>'HAULING RATES- ODOT Locations'!$A$27&amp;"-Stone"</f>
        <v>Williams-Stone</v>
      </c>
    </row>
    <row r="171" spans="1:2" ht="12.75" customHeight="1" x14ac:dyDescent="0.15">
      <c r="A171" s="58" t="e">
        <f>'HAULING RATES- ODOT Locations'!#REF!</f>
        <v>#REF!</v>
      </c>
      <c r="B171" s="58" t="e">
        <f>'HAULING RATES- ODOT Locations'!#REF!&amp;"BG-Stone"</f>
        <v>#REF!</v>
      </c>
    </row>
    <row r="172" spans="1:2" ht="12.75" customHeight="1" x14ac:dyDescent="0.15">
      <c r="A172" s="58">
        <f>'HAULING RATES- ODOT Locations'!$C$30</f>
        <v>0</v>
      </c>
      <c r="B172" s="58" t="str">
        <f>'HAULING RATES- ODOT Locations'!$A$30&amp;"NW-Stone"</f>
        <v>WoodNW-Stone</v>
      </c>
    </row>
    <row r="173" spans="1:2" ht="12.75" customHeight="1" x14ac:dyDescent="0.15">
      <c r="A173" s="58">
        <f>'HAULING RATES- ODOT Locations'!$C$34</f>
        <v>0</v>
      </c>
      <c r="B173" s="58" t="str">
        <f>'HAULING RATES- ODOT Locations'!$A$34&amp;"-Stone"</f>
        <v>Ashland-Stone</v>
      </c>
    </row>
    <row r="174" spans="1:2" ht="12.75" customHeight="1" x14ac:dyDescent="0.15">
      <c r="A174" s="58" t="e">
        <f>'HAULING RATES- ODOT Locations'!#REF!</f>
        <v>#REF!</v>
      </c>
      <c r="B174" s="58" t="e">
        <f>'HAULING RATES- ODOT Locations'!#REF!&amp;"-Stone"</f>
        <v>#REF!</v>
      </c>
    </row>
    <row r="175" spans="1:2" ht="12.75" customHeight="1" x14ac:dyDescent="0.15">
      <c r="A175" s="58">
        <f>'HAULING RATES- ODOT Locations'!$C$37</f>
        <v>0</v>
      </c>
      <c r="B175" s="58" t="str">
        <f>'HAULING RATES- ODOT Locations'!$A$37&amp;"MIL-Stone"</f>
        <v>ErieMIL-Stone</v>
      </c>
    </row>
    <row r="176" spans="1:2" ht="12.75" customHeight="1" x14ac:dyDescent="0.15">
      <c r="A176" s="58">
        <f>'HAULING RATES- ODOT Locations'!$C$38</f>
        <v>0</v>
      </c>
      <c r="B176" s="58" t="str">
        <f>'HAULING RATES- ODOT Locations'!$A$38&amp;"VER-Stone"</f>
        <v>ErieVER-Stone</v>
      </c>
    </row>
    <row r="177" spans="1:2" ht="12.75" customHeight="1" x14ac:dyDescent="0.15">
      <c r="A177" s="58">
        <f>'HAULING RATES- ODOT Locations'!$C$39</f>
        <v>0</v>
      </c>
      <c r="B177" s="58" t="str">
        <f>'HAULING RATES- ODOT Locations'!$A$39&amp;"-Stone"</f>
        <v>Huron-Stone</v>
      </c>
    </row>
    <row r="178" spans="1:2" ht="12.75" customHeight="1" x14ac:dyDescent="0.15">
      <c r="A178" s="58">
        <f>'HAULING RATES- ODOT Locations'!$C$41</f>
        <v>0</v>
      </c>
      <c r="B178" s="58" t="str">
        <f>'HAULING RATES- ODOT Locations'!$A$41&amp;"OBE-Stone"</f>
        <v>LorainOBE-Stone</v>
      </c>
    </row>
    <row r="179" spans="1:2" ht="12.75" customHeight="1" x14ac:dyDescent="0.15">
      <c r="A179" s="58">
        <f>'HAULING RATES- ODOT Locations'!$C$42</f>
        <v>0</v>
      </c>
      <c r="B179" s="58" t="str">
        <f>'HAULING RATES- ODOT Locations'!$A$42&amp;"AVO-Stone"</f>
        <v>LorainAVO-Stone</v>
      </c>
    </row>
    <row r="180" spans="1:2" ht="12.75" customHeight="1" x14ac:dyDescent="0.15">
      <c r="A180" s="58">
        <f>'HAULING RATES- ODOT Locations'!$C$44</f>
        <v>0</v>
      </c>
      <c r="B180" s="58" t="str">
        <f>'HAULING RATES- ODOT Locations'!$A$44&amp;"MED-Stone"</f>
        <v>MedinaMED-Stone</v>
      </c>
    </row>
    <row r="181" spans="1:2" ht="12.75" customHeight="1" x14ac:dyDescent="0.15">
      <c r="A181" s="58">
        <f>'HAULING RATES- ODOT Locations'!$C$45</f>
        <v>0</v>
      </c>
      <c r="B181" s="58" t="str">
        <f>'HAULING RATES- ODOT Locations'!$A$45&amp;"BUR-Stone"</f>
        <v>MedinaBUR-Stone</v>
      </c>
    </row>
    <row r="182" spans="1:2" ht="12.75" customHeight="1" x14ac:dyDescent="0.15">
      <c r="A182" s="58">
        <f>'HAULING RATES- ODOT Locations'!$C$47</f>
        <v>0</v>
      </c>
      <c r="B182" s="58" t="str">
        <f>'HAULING RATES- ODOT Locations'!$A$47&amp;"MAN-Stone"</f>
        <v>RichlandMAN-Stone</v>
      </c>
    </row>
    <row r="183" spans="1:2" ht="12.75" customHeight="1" x14ac:dyDescent="0.15">
      <c r="A183" s="58">
        <f>'HAULING RATES- ODOT Locations'!$C$48</f>
        <v>0</v>
      </c>
      <c r="B183" s="58" t="str">
        <f>'HAULING RATES- ODOT Locations'!$A$48&amp;"BEL-Stone"</f>
        <v>RichlandBEL-Stone</v>
      </c>
    </row>
    <row r="184" spans="1:2" ht="12.75" customHeight="1" x14ac:dyDescent="0.15">
      <c r="A184" s="58" t="e">
        <f>'HAULING RATES- ODOT Locations'!#REF!</f>
        <v>#REF!</v>
      </c>
      <c r="B184" s="58" t="e">
        <f>'HAULING RATES- ODOT Locations'!#REF!&amp;"-Stone"</f>
        <v>#REF!</v>
      </c>
    </row>
    <row r="185" spans="1:2" ht="12.75" customHeight="1" x14ac:dyDescent="0.15">
      <c r="A185" s="58">
        <f>'HAULING RATES- ODOT Locations'!$C$53</f>
        <v>0</v>
      </c>
      <c r="B185" s="58" t="str">
        <f>'HAULING RATES- ODOT Locations'!$A$53&amp;"ATB-Stone"</f>
        <v>AshtabulaATB-Stone</v>
      </c>
    </row>
    <row r="186" spans="1:2" ht="12.75" customHeight="1" x14ac:dyDescent="0.15">
      <c r="A186" s="58">
        <f>'HAULING RATES- ODOT Locations'!$C$54</f>
        <v>0</v>
      </c>
      <c r="B186" s="58" t="str">
        <f>'HAULING RATES- ODOT Locations'!$A$54&amp;"CON-Stone"</f>
        <v>AshtabulaCON-Stone</v>
      </c>
    </row>
    <row r="187" spans="1:2" ht="12.75" customHeight="1" x14ac:dyDescent="0.15">
      <c r="A187" s="58">
        <f>'HAULING RATES- ODOT Locations'!$C$55</f>
        <v>0</v>
      </c>
      <c r="B187" s="58" t="str">
        <f>'HAULING RATES- ODOT Locations'!$A$55&amp;"DOR-Stone"</f>
        <v>AshtabulaDOR-Stone</v>
      </c>
    </row>
    <row r="188" spans="1:2" ht="12.75" customHeight="1" x14ac:dyDescent="0.15">
      <c r="A188" s="58">
        <f>'HAULING RATES- ODOT Locations'!$C$56</f>
        <v>0</v>
      </c>
      <c r="B188" s="58" t="str">
        <f>'HAULING RATES- ODOT Locations'!$A$56&amp;"GEN-Stone"</f>
        <v>AshtabulaGEN-Stone</v>
      </c>
    </row>
    <row r="189" spans="1:2" ht="12.75" customHeight="1" x14ac:dyDescent="0.15">
      <c r="A189" s="58">
        <f>'HAULING RATES- ODOT Locations'!$C$57</f>
        <v>0</v>
      </c>
      <c r="B189" s="58" t="str">
        <f>'HAULING RATES- ODOT Locations'!$A$57&amp;"ROM-Stone"</f>
        <v>AshtabulaROM-Stone</v>
      </c>
    </row>
    <row r="190" spans="1:2" ht="12.75" customHeight="1" x14ac:dyDescent="0.15">
      <c r="A190" s="58">
        <f>'HAULING RATES- ODOT Locations'!$C$58</f>
        <v>0</v>
      </c>
      <c r="B190" s="58" t="str">
        <f>'HAULING RATES- ODOT Locations'!$A$58&amp;"WIL-Stone"</f>
        <v>AshtabulaWIL-Stone</v>
      </c>
    </row>
    <row r="191" spans="1:2" ht="12.75" customHeight="1" x14ac:dyDescent="0.15">
      <c r="A191" s="58">
        <f>'HAULING RATES- ODOT Locations'!$C$59</f>
        <v>0</v>
      </c>
      <c r="B191" s="58" t="str">
        <f>'HAULING RATES- ODOT Locations'!$A$59&amp;"CAN-Stone"</f>
        <v>MahoningCAN-Stone</v>
      </c>
    </row>
    <row r="192" spans="1:2" ht="12.75" customHeight="1" x14ac:dyDescent="0.15">
      <c r="A192" s="58">
        <f>'HAULING RATES- ODOT Locations'!$C$60</f>
        <v>0</v>
      </c>
      <c r="B192" s="58" t="str">
        <f>'HAULING RATES- ODOT Locations'!$A$60&amp;"NJ-Stone"</f>
        <v>MahoningNJ-Stone</v>
      </c>
    </row>
    <row r="193" spans="1:2" ht="12.75" customHeight="1" x14ac:dyDescent="0.15">
      <c r="A193" s="58">
        <f>'HAULING RATES- ODOT Locations'!$C$61</f>
        <v>0</v>
      </c>
      <c r="B193" s="58" t="str">
        <f>'HAULING RATES- ODOT Locations'!$A$61&amp;"NLI-Stone"</f>
        <v>MahoningNLI-Stone</v>
      </c>
    </row>
    <row r="194" spans="1:2" ht="12.75" customHeight="1" x14ac:dyDescent="0.15">
      <c r="A194" s="58" t="e">
        <f>'HAULING RATES- ODOT Locations'!#REF!</f>
        <v>#REF!</v>
      </c>
      <c r="B194" s="58" t="e">
        <f>'HAULING RATES- ODOT Locations'!#REF!&amp;"BEL-Stone"</f>
        <v>#REF!</v>
      </c>
    </row>
    <row r="195" spans="1:2" ht="12.75" customHeight="1" x14ac:dyDescent="0.15">
      <c r="A195" s="58">
        <f>'HAULING RATES- ODOT Locations'!$C$63</f>
        <v>0</v>
      </c>
      <c r="B195" s="58" t="str">
        <f>'HAULING RATES- ODOT Locations'!$A$63&amp;"YOU-Stone"</f>
        <v>MahoningYOU-Stone</v>
      </c>
    </row>
    <row r="196" spans="1:2" ht="12.75" customHeight="1" x14ac:dyDescent="0.15">
      <c r="A196" s="58">
        <f>'HAULING RATES- ODOT Locations'!$C$64</f>
        <v>0</v>
      </c>
      <c r="B196" s="58" t="str">
        <f>'HAULING RATES- ODOT Locations'!$A$64&amp;"WIN-Stone"</f>
        <v>PortageWIN-Stone</v>
      </c>
    </row>
    <row r="197" spans="1:2" ht="12.75" customHeight="1" x14ac:dyDescent="0.15">
      <c r="A197" s="58">
        <f>'HAULING RATES- ODOT Locations'!$C$65</f>
        <v>0</v>
      </c>
      <c r="B197" s="58" t="str">
        <f>'HAULING RATES- ODOT Locations'!$A$65&amp;"ROO-Stone"</f>
        <v>PortageROO-Stone</v>
      </c>
    </row>
    <row r="198" spans="1:2" ht="12.75" customHeight="1" x14ac:dyDescent="0.15">
      <c r="A198" s="58" t="e">
        <f>'HAULING RATES- ODOT Locations'!#REF!</f>
        <v>#REF!</v>
      </c>
      <c r="B198" s="58" t="e">
        <f>'HAULING RATES- ODOT Locations'!#REF!&amp;"DEE-Stone"</f>
        <v>#REF!</v>
      </c>
    </row>
    <row r="199" spans="1:2" ht="12.75" customHeight="1" x14ac:dyDescent="0.15">
      <c r="A199" s="58">
        <f>'HAULING RATES- ODOT Locations'!$C$67</f>
        <v>0</v>
      </c>
      <c r="B199" s="58" t="str">
        <f>'HAULING RATES- ODOT Locations'!$A$67&amp;"CAN-Stone"</f>
        <v>StarkCAN-Stone</v>
      </c>
    </row>
    <row r="200" spans="1:2" ht="12.75" customHeight="1" x14ac:dyDescent="0.15">
      <c r="A200" s="58">
        <f>'HAULING RATES- ODOT Locations'!$C$68</f>
        <v>0</v>
      </c>
      <c r="B200" s="58" t="str">
        <f>'HAULING RATES- ODOT Locations'!$A$68&amp;"MAS-Stone"</f>
        <v>StarkMAS-Stone</v>
      </c>
    </row>
    <row r="201" spans="1:2" ht="12.75" customHeight="1" x14ac:dyDescent="0.15">
      <c r="A201" s="58">
        <f>'HAULING RATES- ODOT Locations'!$C$70</f>
        <v>0</v>
      </c>
      <c r="B201" s="58" t="str">
        <f>'HAULING RATES- ODOT Locations'!$A$70&amp;"HUD-Stone"</f>
        <v>SummitHUD-Stone</v>
      </c>
    </row>
    <row r="202" spans="1:2" ht="12.75" customHeight="1" x14ac:dyDescent="0.15">
      <c r="A202" s="58">
        <f>'HAULING RATES- ODOT Locations'!$C$71</f>
        <v>0</v>
      </c>
      <c r="B202" s="58" t="str">
        <f>'HAULING RATES- ODOT Locations'!$A$71&amp;"TWI-Stone"</f>
        <v>SummitTWI-Stone</v>
      </c>
    </row>
    <row r="203" spans="1:2" ht="12.75" customHeight="1" x14ac:dyDescent="0.15">
      <c r="A203" s="58">
        <f>'HAULING RATES- ODOT Locations'!$C$72</f>
        <v>0</v>
      </c>
      <c r="B203" s="58" t="str">
        <f>'HAULING RATES- ODOT Locations'!$A$72&amp;"NOR-Stone"</f>
        <v>SummitNOR-Stone</v>
      </c>
    </row>
    <row r="204" spans="1:2" ht="12.75" customHeight="1" x14ac:dyDescent="0.15">
      <c r="A204" s="58">
        <f>'HAULING RATES- ODOT Locations'!$C$73</f>
        <v>0</v>
      </c>
      <c r="B204" s="58" t="str">
        <f>'HAULING RATES- ODOT Locations'!$A$73&amp;"CAN-Stone"</f>
        <v>SummitCAN-Stone</v>
      </c>
    </row>
    <row r="205" spans="1:2" ht="12.75" customHeight="1" x14ac:dyDescent="0.15">
      <c r="A205" s="58">
        <f>'HAULING RATES- ODOT Locations'!$C$74</f>
        <v>0</v>
      </c>
      <c r="B205" s="58" t="str">
        <f>'HAULING RATES- ODOT Locations'!$A$74&amp;"AKR-Stone"</f>
        <v>SummitAKR-Stone</v>
      </c>
    </row>
    <row r="206" spans="1:2" ht="12.75" customHeight="1" x14ac:dyDescent="0.15">
      <c r="A206" s="58">
        <f>'HAULING RATES- ODOT Locations'!$C$75</f>
        <v>0</v>
      </c>
      <c r="B206" s="58" t="str">
        <f>'HAULING RATES- ODOT Locations'!$A$75&amp;"HUB-Stone"</f>
        <v>TrumbullHUB-Stone</v>
      </c>
    </row>
    <row r="207" spans="1:2" ht="12.75" customHeight="1" x14ac:dyDescent="0.15">
      <c r="A207" s="58">
        <f>'HAULING RATES- ODOT Locations'!$C$76</f>
        <v>0</v>
      </c>
      <c r="B207" s="58" t="str">
        <f>'HAULING RATES- ODOT Locations'!$A$76&amp;"COR-Stone"</f>
        <v>TrumbullCOR-Stone</v>
      </c>
    </row>
    <row r="208" spans="1:2" ht="12.75" customHeight="1" x14ac:dyDescent="0.15">
      <c r="A208" s="58">
        <f>'HAULING RATES- ODOT Locations'!$C$77</f>
        <v>0</v>
      </c>
      <c r="B208" s="58" t="str">
        <f>'HAULING RATES- ODOT Locations'!$A$77&amp;"NB-Stone"</f>
        <v>TrumbullNB-Stone</v>
      </c>
    </row>
    <row r="209" spans="1:2" ht="12.75" customHeight="1" x14ac:dyDescent="0.15">
      <c r="A209" s="58">
        <f>'HAULING RATES- ODOT Locations'!$C$78</f>
        <v>0</v>
      </c>
      <c r="B209" s="58" t="str">
        <f>'HAULING RATES- ODOT Locations'!$A$78&amp;"FAR-Stone"</f>
        <v>TrumbullFAR-Stone</v>
      </c>
    </row>
    <row r="210" spans="1:2" ht="12.75" customHeight="1" x14ac:dyDescent="0.15">
      <c r="A210" s="58">
        <f>'HAULING RATES- ODOT Locations'!$C$79</f>
        <v>0</v>
      </c>
      <c r="B210" s="58" t="str">
        <f>'HAULING RATES- ODOT Locations'!$A$79&amp;"LEV-Stone"</f>
        <v>TrumbullLEV-Stone</v>
      </c>
    </row>
    <row r="211" spans="1:2" ht="12.75" customHeight="1" x14ac:dyDescent="0.15">
      <c r="A211" s="58">
        <f>'HAULING RATES- ODOT Locations'!$C$83</f>
        <v>0</v>
      </c>
      <c r="B211" s="58" t="str">
        <f>'HAULING RATES- ODOT Locations'!$A$83&amp;"COS-Stone"</f>
        <v>CoshoctonCOS-Stone</v>
      </c>
    </row>
    <row r="212" spans="1:2" ht="12.75" customHeight="1" x14ac:dyDescent="0.15">
      <c r="A212" s="58">
        <f>'HAULING RATES- ODOT Locations'!$C$84</f>
        <v>0</v>
      </c>
      <c r="B212" s="58" t="str">
        <f>'HAULING RATES- ODOT Locations'!$A$84&amp;"NC-Stone"</f>
        <v>CoshoctonNC-Stone</v>
      </c>
    </row>
    <row r="213" spans="1:2" ht="12.75" customHeight="1" x14ac:dyDescent="0.15">
      <c r="A213" s="58">
        <f>'HAULING RATES- ODOT Locations'!$C$85</f>
        <v>0</v>
      </c>
      <c r="B213" s="58" t="str">
        <f>'HAULING RATES- ODOT Locations'!$A$85&amp;"BAL-Stone"</f>
        <v>FairfieldBAL-Stone</v>
      </c>
    </row>
    <row r="214" spans="1:2" ht="12.75" customHeight="1" x14ac:dyDescent="0.15">
      <c r="A214" s="58" t="e">
        <f>'HAULING RATES- ODOT Locations'!#REF!</f>
        <v>#REF!</v>
      </c>
      <c r="B214" s="58" t="e">
        <f>'HAULING RATES- ODOT Locations'!#REF!&amp;"LAN-Stone"</f>
        <v>#REF!</v>
      </c>
    </row>
    <row r="215" spans="1:2" ht="12.75" customHeight="1" x14ac:dyDescent="0.15">
      <c r="A215" s="58">
        <f>'HAULING RATES- ODOT Locations'!$C$87</f>
        <v>0</v>
      </c>
      <c r="B215" s="58" t="str">
        <f>'HAULING RATES- ODOT Locations'!$A$87&amp;"RUS-Stone"</f>
        <v>FairfieldRUS-Stone</v>
      </c>
    </row>
    <row r="216" spans="1:2" ht="12.75" customHeight="1" x14ac:dyDescent="0.15">
      <c r="A216" s="58">
        <f>'HAULING RATES- ODOT Locations'!$C$88</f>
        <v>0</v>
      </c>
      <c r="B216" s="58" t="str">
        <f>'HAULING RATES- ODOT Locations'!$A$88&amp;"CAM-Stone"</f>
        <v>GuernseyCAM-Stone</v>
      </c>
    </row>
    <row r="217" spans="1:2" ht="12.75" customHeight="1" x14ac:dyDescent="0.15">
      <c r="A217" s="58">
        <f>'HAULING RATES- ODOT Locations'!$C$89</f>
        <v>0</v>
      </c>
      <c r="B217" s="58" t="str">
        <f>'HAULING RATES- ODOT Locations'!$A$89&amp;"KIM-Stone"</f>
        <v>GuernseyKIM-Stone</v>
      </c>
    </row>
    <row r="218" spans="1:2" ht="12.75" customHeight="1" x14ac:dyDescent="0.15">
      <c r="A218" s="58">
        <f>'HAULING RATES- ODOT Locations'!$C$90</f>
        <v>0</v>
      </c>
      <c r="B218" s="58" t="str">
        <f>'HAULING RATES- ODOT Locations'!$A$90&amp;"LCI-Stone"</f>
        <v>GuernseyLCI-Stone</v>
      </c>
    </row>
    <row r="219" spans="1:2" ht="12.75" customHeight="1" x14ac:dyDescent="0.15">
      <c r="A219" s="58">
        <f>'HAULING RATES- ODOT Locations'!$C$91</f>
        <v>0</v>
      </c>
      <c r="B219" s="58" t="str">
        <f>'HAULING RATES- ODOT Locations'!$A$91&amp;"MTV-Stone"</f>
        <v>KnoxMTV-Stone</v>
      </c>
    </row>
    <row r="220" spans="1:2" ht="12.75" customHeight="1" x14ac:dyDescent="0.15">
      <c r="A220" s="58" t="e">
        <f>'HAULING RATES- ODOT Locations'!#REF!</f>
        <v>#REF!</v>
      </c>
      <c r="B220" s="58" t="e">
        <f>'HAULING RATES- ODOT Locations'!#REF!&amp;"DAN-Stone"</f>
        <v>#REF!</v>
      </c>
    </row>
    <row r="221" spans="1:2" ht="12.75" customHeight="1" x14ac:dyDescent="0.15">
      <c r="A221" s="58">
        <f>'HAULING RATES- ODOT Locations'!$C$92</f>
        <v>0</v>
      </c>
      <c r="B221" s="58" t="str">
        <f>'HAULING RATES- ODOT Locations'!$A$92&amp;"FRE-Stone"</f>
        <v>KnoxFRE-Stone</v>
      </c>
    </row>
    <row r="222" spans="1:2" ht="12.75" customHeight="1" x14ac:dyDescent="0.15">
      <c r="A222" s="58">
        <f>'HAULING RATES- ODOT Locations'!$C$93</f>
        <v>0</v>
      </c>
      <c r="B222" s="58" t="str">
        <f>'HAULING RATES- ODOT Locations'!$A$93&amp;"JAC-Stone"</f>
        <v>LickingJAC-Stone</v>
      </c>
    </row>
    <row r="223" spans="1:2" ht="12.75" customHeight="1" x14ac:dyDescent="0.15">
      <c r="A223" s="58">
        <f>'HAULING RATES- ODOT Locations'!$C$94</f>
        <v>0</v>
      </c>
      <c r="B223" s="58" t="str">
        <f>'HAULING RATES- ODOT Locations'!$A$94&amp;"PAT-Stone"</f>
        <v>LickingPAT-Stone</v>
      </c>
    </row>
    <row r="224" spans="1:2" ht="12.75" customHeight="1" x14ac:dyDescent="0.15">
      <c r="A224" s="58">
        <f>'HAULING RATES- ODOT Locations'!$C$95</f>
        <v>0</v>
      </c>
      <c r="B224" s="58" t="str">
        <f>'HAULING RATES- ODOT Locations'!$A$95&amp;"UTI-Stone"</f>
        <v>LickingUTI-Stone</v>
      </c>
    </row>
    <row r="225" spans="1:2" ht="12.75" customHeight="1" x14ac:dyDescent="0.15">
      <c r="A225" s="58">
        <f>'HAULING RATES- ODOT Locations'!$C$96</f>
        <v>0</v>
      </c>
      <c r="B225" s="58" t="str">
        <f>'HAULING RATES- ODOT Locations'!$A$96&amp;"BRO-Stone"</f>
        <v>LickingBRO-Stone</v>
      </c>
    </row>
    <row r="226" spans="1:2" ht="12.75" customHeight="1" x14ac:dyDescent="0.15">
      <c r="A226" s="58">
        <f>'HAULING RATES- ODOT Locations'!$C$97</f>
        <v>0</v>
      </c>
      <c r="B226" s="58" t="str">
        <f>'HAULING RATES- ODOT Locations'!$A$97&amp;"NEW-Stone"</f>
        <v>LickingNEW-Stone</v>
      </c>
    </row>
    <row r="227" spans="1:2" ht="12.75" customHeight="1" x14ac:dyDescent="0.15">
      <c r="A227" s="58">
        <f>'HAULING RATES- ODOT Locations'!$C$98</f>
        <v>0</v>
      </c>
      <c r="B227" s="58" t="str">
        <f>'HAULING RATES- ODOT Locations'!$A$98&amp;"ZAN-Stone"</f>
        <v>MuskingumZAN-Stone</v>
      </c>
    </row>
    <row r="228" spans="1:2" ht="12.75" customHeight="1" x14ac:dyDescent="0.15">
      <c r="A228" s="58" t="e">
        <f>'HAULING RATES- ODOT Locations'!#REF!</f>
        <v>#REF!</v>
      </c>
      <c r="B228" s="58" t="e">
        <f>'HAULING RATES- ODOT Locations'!#REF!&amp;"DRE-Stone"</f>
        <v>#REF!</v>
      </c>
    </row>
    <row r="229" spans="1:2" ht="12.75" customHeight="1" x14ac:dyDescent="0.15">
      <c r="A229" s="58">
        <f>'HAULING RATES- ODOT Locations'!$C$100</f>
        <v>0</v>
      </c>
      <c r="B229" s="58" t="str">
        <f>'HAULING RATES- ODOT Locations'!$A$100&amp;"DUN-Stone"</f>
        <v>MuskingumDUN-Stone</v>
      </c>
    </row>
    <row r="230" spans="1:2" ht="12.75" customHeight="1" x14ac:dyDescent="0.15">
      <c r="A230" s="58">
        <f>'HAULING RATES- ODOT Locations'!$C$101</f>
        <v>0</v>
      </c>
      <c r="B230" s="58" t="str">
        <f>'HAULING RATES- ODOT Locations'!$A$101&amp;"MAY-Stone"</f>
        <v>MuskingumMAY-Stone</v>
      </c>
    </row>
    <row r="231" spans="1:2" ht="12.75" customHeight="1" x14ac:dyDescent="0.15">
      <c r="A231" s="58">
        <f>'HAULING RATES- ODOT Locations'!$C$102</f>
        <v>0</v>
      </c>
      <c r="B231" s="58" t="str">
        <f>'HAULING RATES- ODOT Locations'!$A$102&amp;"NLE-Stone"</f>
        <v>PerryNLE-Stone</v>
      </c>
    </row>
    <row r="232" spans="1:2" ht="12.75" customHeight="1" x14ac:dyDescent="0.15">
      <c r="A232" s="58">
        <f>'HAULING RATES- ODOT Locations'!$C$103</f>
        <v>0</v>
      </c>
      <c r="B232" s="58" t="str">
        <f>'HAULING RATES- ODOT Locations'!$A$103&amp;"SHA-Stone"</f>
        <v>PerrySHA-Stone</v>
      </c>
    </row>
    <row r="233" spans="1:2" ht="12.75" customHeight="1" x14ac:dyDescent="0.15">
      <c r="A233" s="58">
        <f>'HAULING RATES- ODOT Locations'!$C$107</f>
        <v>0</v>
      </c>
      <c r="B233" s="58" t="str">
        <f>'HAULING RATES- ODOT Locations'!$A$107&amp;"DEL-Stone"</f>
        <v>DelawareDEL-Stone</v>
      </c>
    </row>
    <row r="234" spans="1:2" ht="12.75" customHeight="1" x14ac:dyDescent="0.15">
      <c r="A234" s="58">
        <f>'HAULING RATES- ODOT Locations'!$C$108</f>
        <v>0</v>
      </c>
      <c r="B234" s="58" t="str">
        <f>'HAULING RATES- ODOT Locations'!$A$108&amp;"BER-Stone"</f>
        <v>DelawareBER-Stone</v>
      </c>
    </row>
    <row r="235" spans="1:2" ht="12.75" customHeight="1" x14ac:dyDescent="0.15">
      <c r="A235" s="58">
        <f>'HAULING RATES- ODOT Locations'!$C$109</f>
        <v>0</v>
      </c>
      <c r="B235" s="58" t="str">
        <f>'HAULING RATES- ODOT Locations'!$A$109&amp;"SUN-Stone"</f>
        <v>DelawareSUN-Stone</v>
      </c>
    </row>
    <row r="236" spans="1:2" ht="12.75" customHeight="1" x14ac:dyDescent="0.15">
      <c r="A236" s="58">
        <f>'HAULING RATES- ODOT Locations'!$C$110</f>
        <v>0</v>
      </c>
      <c r="B236" s="58" t="str">
        <f>'HAULING RATES- ODOT Locations'!$A$110&amp;"WAS-Stone"</f>
        <v>FayetteWAS-Stone</v>
      </c>
    </row>
    <row r="237" spans="1:2" ht="12.75" customHeight="1" x14ac:dyDescent="0.15">
      <c r="A237" s="58">
        <f>'HAULING RATES- ODOT Locations'!$C$111</f>
        <v>0</v>
      </c>
      <c r="B237" s="58" t="str">
        <f>'HAULING RATES- ODOT Locations'!$A$111&amp;"JEF-Stone"</f>
        <v>FayetteJEF-Stone</v>
      </c>
    </row>
    <row r="238" spans="1:2" ht="12.75" customHeight="1" x14ac:dyDescent="0.15">
      <c r="A238" s="58">
        <f>'HAULING RATES- ODOT Locations'!$C$112</f>
        <v>0</v>
      </c>
      <c r="B238" s="58" t="str">
        <f>'HAULING RATES- ODOT Locations'!$A$112&amp;"COL-Stone"</f>
        <v>FranklinCOL-Stone</v>
      </c>
    </row>
    <row r="239" spans="1:2" ht="12.75" customHeight="1" x14ac:dyDescent="0.15">
      <c r="A239" s="58">
        <f>'HAULING RATES- ODOT Locations'!$C$113</f>
        <v>0</v>
      </c>
      <c r="B239" s="58" t="str">
        <f>'HAULING RATES- ODOT Locations'!$A$113&amp;"GCI-Stone"</f>
        <v>FranklinGCI-Stone</v>
      </c>
    </row>
    <row r="240" spans="1:2" ht="12.75" customHeight="1" x14ac:dyDescent="0.15">
      <c r="A240" s="58" t="e">
        <f>'HAULING RATES- ODOT Locations'!#REF!</f>
        <v>#REF!</v>
      </c>
      <c r="B240" s="58" t="e">
        <f>'HAULING RATES- ODOT Locations'!#REF!&amp;"WOR-Stone"</f>
        <v>#REF!</v>
      </c>
    </row>
    <row r="241" spans="1:2" ht="12.75" customHeight="1" x14ac:dyDescent="0.15">
      <c r="A241" s="58">
        <f>'HAULING RATES- ODOT Locations'!$C$114</f>
        <v>0</v>
      </c>
      <c r="B241" s="58" t="str">
        <f>'HAULING RATES- ODOT Locations'!$A$114&amp;"WES-Stone"</f>
        <v>FranklinWES-Stone</v>
      </c>
    </row>
    <row r="242" spans="1:2" ht="12.75" customHeight="1" x14ac:dyDescent="0.15">
      <c r="A242" s="58">
        <f>'HAULING RATES- ODOT Locations'!$C$115</f>
        <v>0</v>
      </c>
      <c r="B242" s="58" t="str">
        <f>'HAULING RATES- ODOT Locations'!$A$115&amp;"HIL-Stone"</f>
        <v>FranklinHIL-Stone</v>
      </c>
    </row>
    <row r="243" spans="1:2" ht="12.75" customHeight="1" x14ac:dyDescent="0.15">
      <c r="A243" s="58" t="e">
        <f>'HAULING RATES- ODOT Locations'!#REF!</f>
        <v>#REF!</v>
      </c>
      <c r="B243" s="58" t="e">
        <f>'HAULING RATES- ODOT Locations'!#REF!&amp;"CWC-Stone"</f>
        <v>#REF!</v>
      </c>
    </row>
    <row r="244" spans="1:2" ht="12.75" customHeight="1" x14ac:dyDescent="0.15">
      <c r="A244" s="58" t="e">
        <f>'HAULING RATES- ODOT Locations'!#REF!</f>
        <v>#REF!</v>
      </c>
      <c r="B244" s="58" t="e">
        <f>'HAULING RATES- ODOT Locations'!#REF!&amp;"LON-Stone"</f>
        <v>#REF!</v>
      </c>
    </row>
    <row r="245" spans="1:2" ht="12.75" customHeight="1" x14ac:dyDescent="0.15">
      <c r="A245" s="58" t="e">
        <f>'HAULING RATES- ODOT Locations'!#REF!</f>
        <v>#REF!</v>
      </c>
      <c r="B245" s="58" t="e">
        <f>'HAULING RATES- ODOT Locations'!#REF!&amp;"MTS-Stone"</f>
        <v>#REF!</v>
      </c>
    </row>
    <row r="246" spans="1:2" ht="12.75" customHeight="1" x14ac:dyDescent="0.15">
      <c r="A246" s="58" t="e">
        <f>'HAULING RATES- ODOT Locations'!#REF!</f>
        <v>#REF!</v>
      </c>
      <c r="B246" s="58" t="e">
        <f>'HAULING RATES- ODOT Locations'!#REF!&amp;"LAF-Stone"</f>
        <v>#REF!</v>
      </c>
    </row>
    <row r="247" spans="1:2" ht="12.75" customHeight="1" x14ac:dyDescent="0.15">
      <c r="A247" s="58" t="e">
        <f>'HAULING RATES- ODOT Locations'!#REF!</f>
        <v>#REF!</v>
      </c>
      <c r="B247" s="58" t="e">
        <f>'HAULING RATES- ODOT Locations'!#REF!&amp;"WJE-Stone"</f>
        <v>#REF!</v>
      </c>
    </row>
    <row r="248" spans="1:2" ht="12.75" customHeight="1" x14ac:dyDescent="0.15">
      <c r="A248" s="58">
        <f>'HAULING RATES- ODOT Locations'!$C$118</f>
        <v>0</v>
      </c>
      <c r="B248" s="58" t="str">
        <f>'HAULING RATES- ODOT Locations'!$A$118&amp;"MWI-Stone"</f>
        <v>MarionMWI-Stone</v>
      </c>
    </row>
    <row r="249" spans="1:2" ht="12.75" customHeight="1" x14ac:dyDescent="0.15">
      <c r="A249" s="58" t="e">
        <f>'HAULING RATES- ODOT Locations'!#REF!</f>
        <v>#REF!</v>
      </c>
      <c r="B249" s="58" t="e">
        <f>'HAULING RATES- ODOT Locations'!#REF!&amp;"MAR-Stone"</f>
        <v>#REF!</v>
      </c>
    </row>
    <row r="250" spans="1:2" ht="12.75" customHeight="1" x14ac:dyDescent="0.15">
      <c r="A250" s="58">
        <f>'HAULING RATES- ODOT Locations'!$C$119</f>
        <v>0</v>
      </c>
      <c r="B250" s="58" t="str">
        <f>'HAULING RATES- ODOT Locations'!$A$119&amp;"CHV-Stone"</f>
        <v>MorrowCHV-Stone</v>
      </c>
    </row>
    <row r="251" spans="1:2" ht="12.75" customHeight="1" x14ac:dyDescent="0.15">
      <c r="A251" s="58">
        <f>'HAULING RATES- ODOT Locations'!$C$120</f>
        <v>0</v>
      </c>
      <c r="B251" s="58" t="str">
        <f>'HAULING RATES- ODOT Locations'!$A$120&amp;"MTG-Stone"</f>
        <v>MorrowMTG-Stone</v>
      </c>
    </row>
    <row r="252" spans="1:2" ht="12.75" customHeight="1" x14ac:dyDescent="0.15">
      <c r="A252" s="58">
        <f>'HAULING RATES- ODOT Locations'!$C$121</f>
        <v>0</v>
      </c>
      <c r="B252" s="58" t="str">
        <f>'HAULING RATES- ODOT Locations'!$A$121&amp;"CIR-Stone"</f>
        <v>PickawayCIR-Stone</v>
      </c>
    </row>
    <row r="253" spans="1:2" ht="12.75" customHeight="1" x14ac:dyDescent="0.15">
      <c r="A253" s="58">
        <f>'HAULING RATES- ODOT Locations'!$C$122</f>
        <v>0</v>
      </c>
      <c r="B253" s="58" t="str">
        <f>'HAULING RATES- ODOT Locations'!$A$122&amp;"MAR-Stone"</f>
        <v>UnionMAR-Stone</v>
      </c>
    </row>
    <row r="254" spans="1:2" ht="12.75" customHeight="1" x14ac:dyDescent="0.15">
      <c r="A254" s="58">
        <f>'HAULING RATES- ODOT Locations'!$C$123</f>
        <v>0</v>
      </c>
      <c r="B254" s="58" t="str">
        <f>'HAULING RATES- ODOT Locations'!$A$123&amp;"RIC-Stone"</f>
        <v>UnionRIC-Stone</v>
      </c>
    </row>
    <row r="255" spans="1:2" ht="12.75" customHeight="1" x14ac:dyDescent="0.15">
      <c r="A255" s="58">
        <f>'HAULING RATES- ODOT Locations'!$C$127</f>
        <v>0</v>
      </c>
      <c r="B255" s="58" t="str">
        <f>'HAULING RATES- ODOT Locations'!$A$127&amp;"WAP-Stone"</f>
        <v>AuglaizeWAP-Stone</v>
      </c>
    </row>
    <row r="256" spans="1:2" ht="12.75" customHeight="1" x14ac:dyDescent="0.15">
      <c r="A256" s="58">
        <f>'HAULING RATES- ODOT Locations'!$C$128</f>
        <v>0</v>
      </c>
      <c r="B256" s="58" t="str">
        <f>'HAULING RATES- ODOT Locations'!$A$128&amp;"STM-Stone"</f>
        <v>AuglaizeSTM-Stone</v>
      </c>
    </row>
    <row r="257" spans="1:2" ht="12.75" customHeight="1" x14ac:dyDescent="0.15">
      <c r="A257" s="58">
        <f>'HAULING RATES- ODOT Locations'!$C$129</f>
        <v>0</v>
      </c>
      <c r="B257" s="58" t="str">
        <f>'HAULING RATES- ODOT Locations'!$A$129&amp;"URB-Stone"</f>
        <v>ChampaignURB-Stone</v>
      </c>
    </row>
    <row r="258" spans="1:2" ht="12.75" customHeight="1" x14ac:dyDescent="0.15">
      <c r="A258" s="58">
        <f>'HAULING RATES- ODOT Locations'!$C$130</f>
        <v>0</v>
      </c>
      <c r="B258" s="58" t="str">
        <f>'HAULING RATES- ODOT Locations'!$A$130&amp;"STP-Stone"</f>
        <v>ChampaignSTP-Stone</v>
      </c>
    </row>
    <row r="259" spans="1:2" ht="12.75" customHeight="1" x14ac:dyDescent="0.15">
      <c r="A259" s="58">
        <f>'HAULING RATES- ODOT Locations'!$C$131</f>
        <v>0</v>
      </c>
      <c r="B259" s="58" t="str">
        <f>'HAULING RATES- ODOT Locations'!$A$131&amp;"WOO-Stone"</f>
        <v>ChampaignWOO-Stone</v>
      </c>
    </row>
    <row r="260" spans="1:2" ht="12.75" customHeight="1" x14ac:dyDescent="0.15">
      <c r="A260" s="58">
        <f>'HAULING RATES- ODOT Locations'!$C$132</f>
        <v>0</v>
      </c>
      <c r="B260" s="58" t="str">
        <f>'HAULING RATES- ODOT Locations'!$A$132&amp;"SPR-Stone"</f>
        <v>ClarkSPR-Stone</v>
      </c>
    </row>
    <row r="261" spans="1:2" ht="12.75" customHeight="1" x14ac:dyDescent="0.15">
      <c r="A261" s="58">
        <f>'HAULING RATES- ODOT Locations'!$C$133</f>
        <v>0</v>
      </c>
      <c r="B261" s="58" t="str">
        <f>'HAULING RATES- ODOT Locations'!$A$133&amp;"ENO-Stone"</f>
        <v>ClarkENO-Stone</v>
      </c>
    </row>
    <row r="262" spans="1:2" ht="12.75" customHeight="1" x14ac:dyDescent="0.15">
      <c r="A262" s="58">
        <f>'HAULING RATES- ODOT Locations'!$C$134</f>
        <v>0</v>
      </c>
      <c r="B262" s="58" t="str">
        <f>'HAULING RATES- ODOT Locations'!$A$134&amp;"HAR-Stone"</f>
        <v>ClarkHAR-Stone</v>
      </c>
    </row>
    <row r="263" spans="1:2" ht="12.75" customHeight="1" x14ac:dyDescent="0.15">
      <c r="A263" s="58">
        <f>'HAULING RATES- ODOT Locations'!$C$135</f>
        <v>0</v>
      </c>
      <c r="B263" s="58" t="str">
        <f>'HAULING RATES- ODOT Locations'!$A$135&amp;"GRE-Stone"</f>
        <v>DarkeGRE-Stone</v>
      </c>
    </row>
    <row r="264" spans="1:2" ht="12.75" customHeight="1" x14ac:dyDescent="0.15">
      <c r="A264" s="58">
        <f>'HAULING RATES- ODOT Locations'!$C$136</f>
        <v>0</v>
      </c>
      <c r="B264" s="58" t="str">
        <f>'HAULING RATES- ODOT Locations'!$A$136&amp;"DAW-Stone"</f>
        <v>DarkeDAW-Stone</v>
      </c>
    </row>
    <row r="265" spans="1:2" ht="12.75" customHeight="1" x14ac:dyDescent="0.15">
      <c r="A265" s="58" t="e">
        <f>'HAULING RATES- ODOT Locations'!#REF!</f>
        <v>#REF!</v>
      </c>
      <c r="B265" s="58" t="e">
        <f>'HAULING RATES- ODOT Locations'!#REF!&amp;"BEL-Stone"</f>
        <v>#REF!</v>
      </c>
    </row>
    <row r="266" spans="1:2" ht="12.75" customHeight="1" x14ac:dyDescent="0.15">
      <c r="A266" s="58">
        <f>'HAULING RATES- ODOT Locations'!$C$137</f>
        <v>0</v>
      </c>
      <c r="B266" s="58" t="str">
        <f>'HAULING RATES- ODOT Locations'!$A$137&amp;"LAK-Stone"</f>
        <v>LoganLAK-Stone</v>
      </c>
    </row>
    <row r="267" spans="1:2" ht="12.75" customHeight="1" x14ac:dyDescent="0.15">
      <c r="A267" s="58">
        <f>'HAULING RATES- ODOT Locations'!$C$138</f>
        <v>0</v>
      </c>
      <c r="B267" s="58" t="str">
        <f>'HAULING RATES- ODOT Locations'!$A$138&amp;"ZAN-Stone"</f>
        <v>LoganZAN-Stone</v>
      </c>
    </row>
    <row r="268" spans="1:2" ht="12.75" customHeight="1" x14ac:dyDescent="0.15">
      <c r="A268" s="58">
        <f>'HAULING RATES- ODOT Locations'!$C$139</f>
        <v>0</v>
      </c>
      <c r="B268" s="58" t="str">
        <f>'HAULING RATES- ODOT Locations'!$A$139&amp;"BEL-Stone"</f>
        <v>LoganBEL-Stone</v>
      </c>
    </row>
    <row r="269" spans="1:2" ht="12.75" customHeight="1" x14ac:dyDescent="0.15">
      <c r="A269" s="58">
        <f>'HAULING RATES- ODOT Locations'!$C$140</f>
        <v>0</v>
      </c>
      <c r="B269" s="58" t="str">
        <f>'HAULING RATES- ODOT Locations'!$A$140&amp;"WCE-Stone"</f>
        <v>MercerWCE-Stone</v>
      </c>
    </row>
    <row r="270" spans="1:2" ht="12.75" customHeight="1" x14ac:dyDescent="0.15">
      <c r="A270" s="58">
        <f>'HAULING RATES- ODOT Locations'!$C$141</f>
        <v>0</v>
      </c>
      <c r="B270" s="58" t="str">
        <f>'HAULING RATES- ODOT Locations'!$A$141&amp;"CEL-Stone"</f>
        <v>MercerCEL-Stone</v>
      </c>
    </row>
    <row r="271" spans="1:2" ht="12.75" customHeight="1" x14ac:dyDescent="0.15">
      <c r="A271" s="58">
        <f>'HAULING RATES- ODOT Locations'!$C$142</f>
        <v>0</v>
      </c>
      <c r="B271" s="58" t="str">
        <f>'HAULING RATES- ODOT Locations'!$A$142&amp;"STH-Stone"</f>
        <v>MercerSTH-Stone</v>
      </c>
    </row>
    <row r="272" spans="1:2" ht="12.75" customHeight="1" x14ac:dyDescent="0.15">
      <c r="A272" s="58">
        <f>'HAULING RATES- ODOT Locations'!$C$143</f>
        <v>0</v>
      </c>
      <c r="B272" s="58" t="str">
        <f>'HAULING RATES- ODOT Locations'!$A$143&amp;"TRO-Stone"</f>
        <v>MiamiTRO-Stone</v>
      </c>
    </row>
    <row r="273" spans="1:2" ht="12.75" customHeight="1" x14ac:dyDescent="0.15">
      <c r="A273" s="58">
        <f>'HAULING RATES- ODOT Locations'!$C$144</f>
        <v>0</v>
      </c>
      <c r="B273" s="58" t="str">
        <f>'HAULING RATES- ODOT Locations'!$A$144&amp;"PIQ-Stone"</f>
        <v>MiamiPIQ-Stone</v>
      </c>
    </row>
    <row r="274" spans="1:2" ht="12.75" customHeight="1" x14ac:dyDescent="0.15">
      <c r="A274" s="58">
        <f>'HAULING RATES- ODOT Locations'!$C$145</f>
        <v>0</v>
      </c>
      <c r="B274" s="58" t="str">
        <f>'HAULING RATES- ODOT Locations'!$A$145&amp;"ENG-Stone"</f>
        <v>MontgomeryENG-Stone</v>
      </c>
    </row>
    <row r="275" spans="1:2" ht="12.75" customHeight="1" x14ac:dyDescent="0.15">
      <c r="A275" s="58">
        <f>'HAULING RATES- ODOT Locations'!$C$146</f>
        <v>0</v>
      </c>
      <c r="B275" s="58" t="str">
        <f>'HAULING RATES- ODOT Locations'!$A$146&amp;"MIA-Stone"</f>
        <v>MontgomeryMIA-Stone</v>
      </c>
    </row>
    <row r="276" spans="1:2" ht="12.75" customHeight="1" x14ac:dyDescent="0.15">
      <c r="A276" s="58">
        <f>'HAULING RATES- ODOT Locations'!$C$147</f>
        <v>0</v>
      </c>
      <c r="B276" s="58" t="str">
        <f>'HAULING RATES- ODOT Locations'!$A$147&amp;"HHE-Stone"</f>
        <v>MontgomeryHHE-Stone</v>
      </c>
    </row>
    <row r="277" spans="1:2" ht="12.75" customHeight="1" x14ac:dyDescent="0.15">
      <c r="A277" s="58">
        <f>'HAULING RATES- ODOT Locations'!$C$148</f>
        <v>0</v>
      </c>
      <c r="B277" s="58" t="str">
        <f>'HAULING RATES- ODOT Locations'!$A$148&amp;"SID-Stone"</f>
        <v>ShelbySID-Stone</v>
      </c>
    </row>
    <row r="278" spans="1:2" ht="12.75" customHeight="1" x14ac:dyDescent="0.15">
      <c r="A278" s="58">
        <f>'HAULING RATES- ODOT Locations'!$C$150</f>
        <v>0</v>
      </c>
      <c r="B278" s="58" t="str">
        <f>'HAULING RATES- ODOT Locations'!$A$150&amp;"FTL-Stone"</f>
        <v>ShelbyFTL-Stone</v>
      </c>
    </row>
    <row r="279" spans="1:2" ht="12.75" customHeight="1" x14ac:dyDescent="0.15">
      <c r="A279" s="58">
        <f>'HAULING RATES- ODOT Locations'!$C$154</f>
        <v>0</v>
      </c>
      <c r="B279" s="58" t="str">
        <f>'HAULING RATES- ODOT Locations'!$A$154&amp;"HAM-Stone"</f>
        <v>ButlerHAM-Stone</v>
      </c>
    </row>
    <row r="280" spans="1:2" ht="12.75" customHeight="1" x14ac:dyDescent="0.15">
      <c r="A280" s="58">
        <f>'HAULING RATES- ODOT Locations'!$C$155</f>
        <v>0</v>
      </c>
      <c r="B280" s="58" t="str">
        <f>'HAULING RATES- ODOT Locations'!$A$155&amp;"MID-Stone"</f>
        <v>ButlerMID-Stone</v>
      </c>
    </row>
    <row r="281" spans="1:2" ht="12.75" customHeight="1" x14ac:dyDescent="0.15">
      <c r="A281" s="58">
        <f>'HAULING RATES- ODOT Locations'!$C$156</f>
        <v>0</v>
      </c>
      <c r="B281" s="58" t="str">
        <f>'HAULING RATES- ODOT Locations'!$A$156&amp;"AME-Stone"</f>
        <v>ClermontAME-Stone</v>
      </c>
    </row>
    <row r="282" spans="1:2" ht="12.75" customHeight="1" x14ac:dyDescent="0.15">
      <c r="A282" s="58">
        <f>'HAULING RATES- ODOT Locations'!$C$157</f>
        <v>0</v>
      </c>
      <c r="B282" s="58" t="str">
        <f>'HAULING RATES- ODOT Locations'!$A$157&amp;"MIL-Stone"</f>
        <v>ClermontMIL-Stone</v>
      </c>
    </row>
    <row r="283" spans="1:2" ht="12.75" customHeight="1" x14ac:dyDescent="0.15">
      <c r="A283" s="58">
        <f>'HAULING RATES- ODOT Locations'!$C$158</f>
        <v>0</v>
      </c>
      <c r="B283" s="58" t="str">
        <f>'HAULING RATES- ODOT Locations'!$A$158&amp;"NER-Stone"</f>
        <v>ClermontNER-Stone</v>
      </c>
    </row>
    <row r="284" spans="1:2" ht="12.75" customHeight="1" x14ac:dyDescent="0.15">
      <c r="A284" s="58">
        <f>'HAULING RATES- ODOT Locations'!$C$159</f>
        <v>0</v>
      </c>
      <c r="B284" s="58" t="str">
        <f>'HAULING RATES- ODOT Locations'!$A$159&amp;"WIL-Stone"</f>
        <v>ClintonWIL-Stone</v>
      </c>
    </row>
    <row r="285" spans="1:2" ht="12.75" customHeight="1" x14ac:dyDescent="0.15">
      <c r="A285" s="58">
        <f>'HAULING RATES- ODOT Locations'!$C$160</f>
        <v>0</v>
      </c>
      <c r="B285" s="58" t="str">
        <f>'HAULING RATES- ODOT Locations'!$A$160&amp;"NWI-Stone"</f>
        <v>ClintonNWI-Stone</v>
      </c>
    </row>
    <row r="286" spans="1:2" ht="12.75" customHeight="1" x14ac:dyDescent="0.15">
      <c r="A286" s="58">
        <f>'HAULING RATES- ODOT Locations'!$C$161</f>
        <v>0</v>
      </c>
      <c r="B286" s="58" t="str">
        <f>'HAULING RATES- ODOT Locations'!$A$161&amp;"-Stone"</f>
        <v>Greene-Stone</v>
      </c>
    </row>
    <row r="287" spans="1:2" ht="12.75" customHeight="1" x14ac:dyDescent="0.15">
      <c r="A287" s="58">
        <f>'HAULING RATES- ODOT Locations'!$C$162</f>
        <v>0</v>
      </c>
      <c r="B287" s="58" t="str">
        <f>'HAULING RATES- ODOT Locations'!$A$162&amp;"BLA-Stone"</f>
        <v>HamiltonBLA-Stone</v>
      </c>
    </row>
    <row r="288" spans="1:2" ht="12.75" customHeight="1" x14ac:dyDescent="0.15">
      <c r="A288" s="58">
        <f>'HAULING RATES- ODOT Locations'!$C$163</f>
        <v>0</v>
      </c>
      <c r="B288" s="58" t="str">
        <f>'HAULING RATES- ODOT Locations'!$A$163&amp;"CIN-Stone"</f>
        <v>HamiltonCIN-Stone</v>
      </c>
    </row>
    <row r="289" spans="1:2" ht="12.75" customHeight="1" x14ac:dyDescent="0.15">
      <c r="A289" s="58">
        <f>'HAULING RATES- ODOT Locations'!$C$164</f>
        <v>0</v>
      </c>
      <c r="B289" s="58" t="str">
        <f>'HAULING RATES- ODOT Locations'!$A$164&amp;"MIA-Stone"</f>
        <v>HamiltonMIA-Stone</v>
      </c>
    </row>
    <row r="290" spans="1:2" ht="12.75" customHeight="1" x14ac:dyDescent="0.15">
      <c r="A290" s="58">
        <f>'HAULING RATES- ODOT Locations'!$C$165</f>
        <v>0</v>
      </c>
      <c r="B290" s="58" t="str">
        <f>'HAULING RATES- ODOT Locations'!$A$165&amp;"SHA-Stone"</f>
        <v>HamiltonSHA-Stone</v>
      </c>
    </row>
    <row r="291" spans="1:2" ht="12.75" customHeight="1" x14ac:dyDescent="0.15">
      <c r="A291" s="58" t="e">
        <f>'HAULING RATES- ODOT Locations'!#REF!</f>
        <v>#REF!</v>
      </c>
      <c r="B291" s="58" t="e">
        <f>'HAULING RATES- ODOT Locations'!#REF!&amp;"-Stone"</f>
        <v>#REF!</v>
      </c>
    </row>
    <row r="292" spans="1:2" ht="12.75" customHeight="1" x14ac:dyDescent="0.15">
      <c r="A292" s="58">
        <f>'HAULING RATES- ODOT Locations'!$C$166</f>
        <v>0</v>
      </c>
      <c r="B292" s="58" t="str">
        <f>'HAULING RATES- ODOT Locations'!$A$166&amp;"NEA-Stone"</f>
        <v>PrebleNEA-Stone</v>
      </c>
    </row>
    <row r="293" spans="1:2" ht="12.75" customHeight="1" x14ac:dyDescent="0.15">
      <c r="A293" s="58" t="e">
        <f>'HAULING RATES- ODOT Locations'!#REF!</f>
        <v>#REF!</v>
      </c>
      <c r="B293" s="58" t="e">
        <f>'HAULING RATES- ODOT Locations'!#REF!&amp;"CAM-Stone"</f>
        <v>#REF!</v>
      </c>
    </row>
    <row r="294" spans="1:2" ht="12.75" customHeight="1" x14ac:dyDescent="0.15">
      <c r="A294" s="58">
        <f>'HAULING RATES- ODOT Locations'!$C$168</f>
        <v>0</v>
      </c>
      <c r="B294" s="58" t="str">
        <f>'HAULING RATES- ODOT Locations'!$A$168&amp;"EAL-Stone"</f>
        <v>PrebleEAL-Stone</v>
      </c>
    </row>
    <row r="295" spans="1:2" ht="12.75" customHeight="1" x14ac:dyDescent="0.15">
      <c r="A295" s="58">
        <f>'HAULING RATES- ODOT Locations'!$C$169</f>
        <v>0</v>
      </c>
      <c r="B295" s="58" t="str">
        <f>'HAULING RATES- ODOT Locations'!$A$169&amp;"MON-Stone"</f>
        <v>WarrenMON-Stone</v>
      </c>
    </row>
    <row r="296" spans="1:2" ht="12.75" customHeight="1" x14ac:dyDescent="0.15">
      <c r="A296" s="58">
        <f>'HAULING RATES- ODOT Locations'!$C$170</f>
        <v>0</v>
      </c>
      <c r="B296" s="58" t="str">
        <f>'HAULING RATES- ODOT Locations'!$A$170&amp;"LEB-Stone"</f>
        <v>WarrenLEB-Stone</v>
      </c>
    </row>
    <row r="297" spans="1:2" ht="12.75" customHeight="1" x14ac:dyDescent="0.15">
      <c r="A297" s="58">
        <f>'HAULING RATES- ODOT Locations'!$C$174</f>
        <v>0</v>
      </c>
      <c r="B297" s="58" t="str">
        <f>'HAULING RATES- ODOT Locations'!$A$174&amp;"PEE-Stone"</f>
        <v>AdamsPEE-Stone</v>
      </c>
    </row>
    <row r="298" spans="1:2" ht="12.75" customHeight="1" x14ac:dyDescent="0.15">
      <c r="A298" s="58" t="e">
        <f>'HAULING RATES- ODOT Locations'!#REF!</f>
        <v>#REF!</v>
      </c>
      <c r="B298" s="58" t="e">
        <f>'HAULING RATES- ODOT Locations'!#REF!&amp;"WUN-Stone"</f>
        <v>#REF!</v>
      </c>
    </row>
    <row r="299" spans="1:2" ht="12.75" customHeight="1" x14ac:dyDescent="0.15">
      <c r="A299" s="58">
        <f>'HAULING RATES- ODOT Locations'!$C$176</f>
        <v>0</v>
      </c>
      <c r="B299" s="58" t="str">
        <f>'HAULING RATES- ODOT Locations'!$A$176&amp;"GEO-Stone"</f>
        <v>BrownGEO-Stone</v>
      </c>
    </row>
    <row r="300" spans="1:2" ht="12.75" customHeight="1" x14ac:dyDescent="0.15">
      <c r="A300" s="58">
        <f>'HAULING RATES- ODOT Locations'!$C$177</f>
        <v>0</v>
      </c>
      <c r="B300" s="58" t="str">
        <f>'HAULING RATES- ODOT Locations'!$A$177&amp;"MTO-Stone"</f>
        <v>BrownMTO-Stone</v>
      </c>
    </row>
    <row r="301" spans="1:2" ht="12.75" customHeight="1" x14ac:dyDescent="0.15">
      <c r="A301" s="58">
        <f>'HAULING RATES- ODOT Locations'!$C$178</f>
        <v>0</v>
      </c>
      <c r="B301" s="58" t="str">
        <f>'HAULING RATES- ODOT Locations'!$A$178&amp;"-Stone"</f>
        <v>Highland-Stone</v>
      </c>
    </row>
    <row r="302" spans="1:2" ht="12.75" customHeight="1" x14ac:dyDescent="0.15">
      <c r="A302" s="58">
        <f>'HAULING RATES- ODOT Locations'!$C$179</f>
        <v>0</v>
      </c>
      <c r="B302" s="58" t="str">
        <f>'HAULING RATES- ODOT Locations'!$A$179&amp;"-Stone"</f>
        <v>Jackson-Stone</v>
      </c>
    </row>
    <row r="303" spans="1:2" ht="12.75" customHeight="1" x14ac:dyDescent="0.15">
      <c r="A303" s="58">
        <f>'HAULING RATES- ODOT Locations'!$C$181</f>
        <v>0</v>
      </c>
      <c r="B303" s="58" t="str">
        <f>'HAULING RATES- ODOT Locations'!$A$181&amp;"IRO-Stone"</f>
        <v>LawrenceIRO-Stone</v>
      </c>
    </row>
    <row r="304" spans="1:2" ht="12.75" customHeight="1" x14ac:dyDescent="0.15">
      <c r="A304" s="58">
        <f>'HAULING RATES- ODOT Locations'!$C$182</f>
        <v>0</v>
      </c>
      <c r="B304" s="58" t="str">
        <f>'HAULING RATES- ODOT Locations'!$A$182&amp;"PRO-Stone"</f>
        <v>LawrencePRO-Stone</v>
      </c>
    </row>
    <row r="305" spans="1:2" ht="12.75" customHeight="1" x14ac:dyDescent="0.15">
      <c r="A305" s="58" t="e">
        <f>'HAULING RATES- ODOT Locations'!#REF!</f>
        <v>#REF!</v>
      </c>
      <c r="B305" s="58" t="e">
        <f>'HAULING RATES- ODOT Locations'!#REF!&amp;"WIL-Stone"</f>
        <v>#REF!</v>
      </c>
    </row>
    <row r="306" spans="1:2" ht="12.75" customHeight="1" x14ac:dyDescent="0.15">
      <c r="A306" s="58" t="e">
        <f>'HAULING RATES- ODOT Locations'!#REF!</f>
        <v>#REF!</v>
      </c>
      <c r="B306" s="58" t="e">
        <f>'HAULING RATES- ODOT Locations'!#REF!&amp;"-Stone"</f>
        <v>#REF!</v>
      </c>
    </row>
    <row r="307" spans="1:2" ht="12.75" customHeight="1" x14ac:dyDescent="0.15">
      <c r="A307" s="58">
        <f>'HAULING RATES- ODOT Locations'!$C$185</f>
        <v>0</v>
      </c>
      <c r="B307" s="58" t="str">
        <f>'HAULING RATES- ODOT Locations'!$A$185&amp;"-Stone"</f>
        <v>Ross-Stone</v>
      </c>
    </row>
    <row r="308" spans="1:2" ht="12.75" customHeight="1" x14ac:dyDescent="0.15">
      <c r="A308" s="58">
        <f>'HAULING RATES- ODOT Locations'!$C$186</f>
        <v>0</v>
      </c>
      <c r="B308" s="58" t="str">
        <f>'HAULING RATES- ODOT Locations'!$A$186&amp;"LUC-Stone"</f>
        <v>SciotoLUC-Stone</v>
      </c>
    </row>
    <row r="309" spans="1:2" ht="12.75" customHeight="1" x14ac:dyDescent="0.15">
      <c r="A309" s="58">
        <f>'HAULING RATES- ODOT Locations'!$C$187</f>
        <v>0</v>
      </c>
      <c r="B309" s="58" t="str">
        <f>'HAULING RATES- ODOT Locations'!$A$187&amp;"WHE-Stone"</f>
        <v>SciotoWHE-Stone</v>
      </c>
    </row>
    <row r="310" spans="1:2" ht="12.75" customHeight="1" x14ac:dyDescent="0.15">
      <c r="A310" s="58">
        <f>'HAULING RATES- ODOT Locations'!$C$191</f>
        <v>0</v>
      </c>
      <c r="B310" s="58" t="str">
        <f>'HAULING RATES- ODOT Locations'!$A$191&amp;"ATH-Stone"</f>
        <v>AthensATH-Stone</v>
      </c>
    </row>
    <row r="311" spans="1:2" ht="12.75" customHeight="1" x14ac:dyDescent="0.15">
      <c r="A311" s="58" t="e">
        <f>'HAULING RATES- ODOT Locations'!#REF!</f>
        <v>#REF!</v>
      </c>
      <c r="B311" s="58" t="e">
        <f>'HAULING RATES- ODOT Locations'!#REF!&amp;"GLO-Stone"</f>
        <v>#REF!</v>
      </c>
    </row>
    <row r="312" spans="1:2" ht="12.75" customHeight="1" x14ac:dyDescent="0.15">
      <c r="A312" s="58">
        <f>'HAULING RATES- ODOT Locations'!$C$193</f>
        <v>0</v>
      </c>
      <c r="B312" s="58" t="str">
        <f>'HAULING RATES- ODOT Locations'!$A$193&amp;"COO-Stone"</f>
        <v>GalliaCOO-Stone</v>
      </c>
    </row>
    <row r="313" spans="1:2" ht="12.75" customHeight="1" x14ac:dyDescent="0.15">
      <c r="A313" s="58">
        <f>'HAULING RATES- ODOT Locations'!$C$194</f>
        <v>0</v>
      </c>
      <c r="B313" s="58" t="str">
        <f>'HAULING RATES- ODOT Locations'!$A$194&amp;"-Stone"</f>
        <v>Hocking-Stone</v>
      </c>
    </row>
    <row r="314" spans="1:2" ht="12.75" customHeight="1" x14ac:dyDescent="0.15">
      <c r="A314" s="58">
        <f>'HAULING RATES- ODOT Locations'!$C$195</f>
        <v>0</v>
      </c>
      <c r="B314" s="58" t="str">
        <f>'HAULING RATES- ODOT Locations'!$A$195&amp;"LOG-Stone"</f>
        <v>HockingLOG-Stone</v>
      </c>
    </row>
    <row r="315" spans="1:2" ht="12.75" customHeight="1" x14ac:dyDescent="0.15">
      <c r="A315" s="58">
        <f>'HAULING RATES- ODOT Locations'!$C$196</f>
        <v>0</v>
      </c>
      <c r="B315" s="58" t="str">
        <f>'HAULING RATES- ODOT Locations'!$A$196&amp;"LAU-Stone"</f>
        <v>MeigsLAU-Stone</v>
      </c>
    </row>
    <row r="316" spans="1:2" ht="12.75" customHeight="1" x14ac:dyDescent="0.15">
      <c r="A316" s="58">
        <f>'HAULING RATES- ODOT Locations'!$C$197</f>
        <v>0</v>
      </c>
      <c r="B316" s="58" t="str">
        <f>'HAULING RATES- ODOT Locations'!$A$197&amp;"-Stone"</f>
        <v>Meigs-Stone</v>
      </c>
    </row>
    <row r="317" spans="1:2" ht="12.75" customHeight="1" x14ac:dyDescent="0.15">
      <c r="A317" s="58">
        <f>'HAULING RATES- ODOT Locations'!$C$199</f>
        <v>0</v>
      </c>
      <c r="B317" s="58" t="str">
        <f>'HAULING RATES- ODOT Locations'!$A$199&amp;"WOO-Stone"</f>
        <v>MonroeWOO-Stone</v>
      </c>
    </row>
    <row r="318" spans="1:2" ht="12.75" customHeight="1" x14ac:dyDescent="0.15">
      <c r="A318" s="58" t="e">
        <f>'HAULING RATES- ODOT Locations'!#REF!</f>
        <v>#REF!</v>
      </c>
      <c r="B318" s="58" t="e">
        <f>'HAULING RATES- ODOT Locations'!#REF!&amp;"HAN-Stone"</f>
        <v>#REF!</v>
      </c>
    </row>
    <row r="319" spans="1:2" ht="12.75" customHeight="1" x14ac:dyDescent="0.15">
      <c r="A319" s="58">
        <f>'HAULING RATES- ODOT Locations'!$C$200</f>
        <v>0</v>
      </c>
      <c r="B319" s="58" t="str">
        <f>'HAULING RATES- ODOT Locations'!$A$200&amp;"MCC-Stone"</f>
        <v>MorganMCC-Stone</v>
      </c>
    </row>
    <row r="320" spans="1:2" ht="12.75" customHeight="1" x14ac:dyDescent="0.15">
      <c r="A320" s="58" t="e">
        <f>'HAULING RATES- ODOT Locations'!#REF!</f>
        <v>#REF!</v>
      </c>
      <c r="B320" s="58" t="e">
        <f>'HAULING RATES- ODOT Locations'!#REF!&amp;"CAL-Stone"</f>
        <v>#REF!</v>
      </c>
    </row>
    <row r="321" spans="1:2" ht="12.75" customHeight="1" x14ac:dyDescent="0.15">
      <c r="A321" s="58" t="e">
        <f>'HAULING RATES- ODOT Locations'!#REF!</f>
        <v>#REF!</v>
      </c>
      <c r="B321" s="58" t="e">
        <f>'HAULING RATES- ODOT Locations'!#REF!&amp;"BVA-Stone"</f>
        <v>#REF!</v>
      </c>
    </row>
    <row r="322" spans="1:2" ht="12.75" customHeight="1" x14ac:dyDescent="0.15">
      <c r="A322" s="58">
        <f>'HAULING RATES- ODOT Locations'!$C$203</f>
        <v>0</v>
      </c>
      <c r="B322" s="58" t="str">
        <f>'HAULING RATES- ODOT Locations'!$A$203&amp;"HAM-Stone"</f>
        <v>VintonHAM-Stone</v>
      </c>
    </row>
    <row r="323" spans="1:2" ht="12.75" customHeight="1" x14ac:dyDescent="0.15">
      <c r="A323" s="58" t="e">
        <f>'HAULING RATES- ODOT Locations'!#REF!</f>
        <v>#REF!</v>
      </c>
      <c r="B323" s="58" t="e">
        <f>'HAULING RATES- ODOT Locations'!#REF!&amp;"WIL-Stone"</f>
        <v>#REF!</v>
      </c>
    </row>
    <row r="324" spans="1:2" ht="12.75" customHeight="1" x14ac:dyDescent="0.15">
      <c r="A324" s="58">
        <f>'HAULING RATES- ODOT Locations'!$C$205</f>
        <v>0</v>
      </c>
      <c r="B324" s="58" t="str">
        <f>'HAULING RATES- ODOT Locations'!$A$205&amp;"MAR-Stone"</f>
        <v>WashingtonMAR-Stone</v>
      </c>
    </row>
    <row r="325" spans="1:2" ht="12.75" customHeight="1" x14ac:dyDescent="0.15">
      <c r="A325" s="58">
        <f>'HAULING RATES- ODOT Locations'!$C$206</f>
        <v>0</v>
      </c>
      <c r="B325" s="58" t="str">
        <f>'HAULING RATES- ODOT Locations'!$A$206&amp;"BAR-Stone"</f>
        <v>WashingtonBAR-Stone</v>
      </c>
    </row>
    <row r="326" spans="1:2" ht="12.75" customHeight="1" x14ac:dyDescent="0.15">
      <c r="A326" s="58">
        <f>'HAULING RATES- ODOT Locations'!$C$207</f>
        <v>0</v>
      </c>
      <c r="B326" s="58" t="str">
        <f>'HAULING RATES- ODOT Locations'!$A$207&amp;"BEL-Stone"</f>
        <v>WashingtonBEL-Stone</v>
      </c>
    </row>
    <row r="327" spans="1:2" ht="12.75" customHeight="1" x14ac:dyDescent="0.15">
      <c r="A327" s="58" t="e">
        <f>'HAULING RATES- ODOT Locations'!#REF!</f>
        <v>#REF!</v>
      </c>
      <c r="B327" s="58" t="e">
        <f>'HAULING RATES- ODOT Locations'!#REF!&amp;"MAC-Stone"</f>
        <v>#REF!</v>
      </c>
    </row>
    <row r="328" spans="1:2" ht="12.75" customHeight="1" x14ac:dyDescent="0.15">
      <c r="A328" s="58">
        <f>'HAULING RATES- ODOT Locations'!$C$212</f>
        <v>0</v>
      </c>
      <c r="B328" s="58" t="str">
        <f>'HAULING RATES- ODOT Locations'!$A$212&amp;"BEL-Stone"</f>
        <v>BelmontBEL-Stone</v>
      </c>
    </row>
    <row r="329" spans="1:2" ht="12.75" customHeight="1" x14ac:dyDescent="0.15">
      <c r="A329" s="58">
        <f>'HAULING RATES- ODOT Locations'!$C$213</f>
        <v>0</v>
      </c>
      <c r="B329" s="58" t="str">
        <f>'HAULING RATES- ODOT Locations'!$A$213&amp;"STC-Stone"</f>
        <v>BelmontSTC-Stone</v>
      </c>
    </row>
    <row r="330" spans="1:2" ht="12.75" customHeight="1" x14ac:dyDescent="0.15">
      <c r="A330" s="58">
        <f>'HAULING RATES- ODOT Locations'!$C$214</f>
        <v>0</v>
      </c>
      <c r="B330" s="58" t="str">
        <f>'HAULING RATES- ODOT Locations'!$A$214&amp;"BAR-Stone"</f>
        <v>BelmontBAR-Stone</v>
      </c>
    </row>
    <row r="331" spans="1:2" ht="12.75" customHeight="1" x14ac:dyDescent="0.15">
      <c r="A331" s="58">
        <f>'HAULING RATES- ODOT Locations'!$C$215</f>
        <v>0</v>
      </c>
      <c r="B331" s="58" t="str">
        <f>'HAULING RATES- ODOT Locations'!$A$215&amp;"SHD-Stone"</f>
        <v>BelmontSHD-Stone</v>
      </c>
    </row>
    <row r="332" spans="1:2" ht="12.75" customHeight="1" x14ac:dyDescent="0.15">
      <c r="A332" s="58">
        <f>'HAULING RATES- ODOT Locations'!$C$216</f>
        <v>0</v>
      </c>
      <c r="B332" s="58" t="str">
        <f>'HAULING RATES- ODOT Locations'!$A$216&amp;"-Stone"</f>
        <v>Carroll-Stone</v>
      </c>
    </row>
    <row r="333" spans="1:2" ht="12.75" customHeight="1" x14ac:dyDescent="0.15">
      <c r="A333" s="58">
        <f>'HAULING RATES- ODOT Locations'!$C$217</f>
        <v>0</v>
      </c>
      <c r="B333" s="58" t="str">
        <f>'HAULING RATES- ODOT Locations'!$A$217&amp;"LIS-Stone"</f>
        <v>ColumbianaLIS-Stone</v>
      </c>
    </row>
    <row r="334" spans="1:2" ht="12.75" customHeight="1" x14ac:dyDescent="0.15">
      <c r="A334" s="58">
        <f>'HAULING RATES- ODOT Locations'!$C$218</f>
        <v>0</v>
      </c>
      <c r="B334" s="58" t="str">
        <f>'HAULING RATES- ODOT Locations'!$A$218&amp;"ELI-Stone"</f>
        <v>ColumbianaELI-Stone</v>
      </c>
    </row>
    <row r="335" spans="1:2" ht="12.75" customHeight="1" x14ac:dyDescent="0.15">
      <c r="A335" s="58">
        <f>'HAULING RATES- ODOT Locations'!$C$219</f>
        <v>0</v>
      </c>
      <c r="B335" s="58" t="str">
        <f>'HAULING RATES- ODOT Locations'!$A$219&amp;"EPA-Stone"</f>
        <v>ColumbianaEPA-Stone</v>
      </c>
    </row>
    <row r="336" spans="1:2" ht="12.75" customHeight="1" x14ac:dyDescent="0.15">
      <c r="A336" s="58">
        <f>'HAULING RATES- ODOT Locations'!$C$220</f>
        <v>0</v>
      </c>
      <c r="B336" s="58" t="str">
        <f>'HAULING RATES- ODOT Locations'!$A$220&amp;"CAD-Stone"</f>
        <v>HarrisonCAD-Stone</v>
      </c>
    </row>
    <row r="337" spans="1:2" ht="12.75" customHeight="1" x14ac:dyDescent="0.15">
      <c r="A337" s="58">
        <f>'HAULING RATES- ODOT Locations'!$C$222</f>
        <v>0</v>
      </c>
      <c r="B337" s="58" t="str">
        <f>'HAULING RATES- ODOT Locations'!$A$222&amp;"FRE-Stone"</f>
        <v>HarrisonFRE-Stone</v>
      </c>
    </row>
    <row r="338" spans="1:2" ht="12.75" customHeight="1" x14ac:dyDescent="0.15">
      <c r="A338" s="58" t="e">
        <f>'HAULING RATES- ODOT Locations'!#REF!</f>
        <v>#REF!</v>
      </c>
      <c r="B338" s="58" t="e">
        <f>'HAULING RATES- ODOT Locations'!#REF!&amp;"MIL-Stone"</f>
        <v>#REF!</v>
      </c>
    </row>
    <row r="339" spans="1:2" ht="12.75" customHeight="1" x14ac:dyDescent="0.15">
      <c r="A339" s="58">
        <f>'HAULING RATES- ODOT Locations'!$C$224</f>
        <v>0</v>
      </c>
      <c r="B339" s="58" t="str">
        <f>'HAULING RATES- ODOT Locations'!$A$224&amp;"NAS-Stone"</f>
        <v>HolmesNAS-Stone</v>
      </c>
    </row>
    <row r="340" spans="1:2" ht="12.75" customHeight="1" x14ac:dyDescent="0.15">
      <c r="A340" s="58" t="e">
        <f>'HAULING RATES- ODOT Locations'!#REF!</f>
        <v>#REF!</v>
      </c>
      <c r="B340" s="58" t="e">
        <f>'HAULING RATES- ODOT Locations'!#REF!&amp;"WIN-Stone"</f>
        <v>#REF!</v>
      </c>
    </row>
    <row r="341" spans="1:2" ht="12.75" customHeight="1" x14ac:dyDescent="0.15">
      <c r="A341" s="58" t="e">
        <f>'HAULING RATES- ODOT Locations'!#REF!</f>
        <v>#REF!</v>
      </c>
      <c r="B341" s="58" t="e">
        <f>'HAULING RATES- ODOT Locations'!#REF!&amp;"STE-Stone"</f>
        <v>#REF!</v>
      </c>
    </row>
    <row r="342" spans="1:2" ht="12.75" customHeight="1" x14ac:dyDescent="0.15">
      <c r="A342" s="58" t="e">
        <f>'HAULING RATES- ODOT Locations'!#REF!</f>
        <v>#REF!</v>
      </c>
      <c r="B342" s="58" t="e">
        <f>'HAULING RATES- ODOT Locations'!#REF!&amp;"DIL-Stone"</f>
        <v>#REF!</v>
      </c>
    </row>
    <row r="343" spans="1:2" ht="12.75" customHeight="1" x14ac:dyDescent="0.15">
      <c r="A343" s="58" t="e">
        <f>'HAULING RATES- ODOT Locations'!#REF!</f>
        <v>#REF!</v>
      </c>
      <c r="B343" s="58" t="e">
        <f>'HAULING RATES- ODOT Locations'!#REF!&amp;"BER-Stone"</f>
        <v>#REF!</v>
      </c>
    </row>
    <row r="344" spans="1:2" ht="12.75" customHeight="1" x14ac:dyDescent="0.15">
      <c r="A344" s="58">
        <f>'HAULING RATES- ODOT Locations'!$C$229</f>
        <v>0</v>
      </c>
      <c r="B344" s="58" t="str">
        <f>'HAULING RATES- ODOT Locations'!$A$229&amp;"NPH-Stone"</f>
        <v>TuscarawasNPH-Stone</v>
      </c>
    </row>
    <row r="345" spans="1:2" ht="12.75" customHeight="1" x14ac:dyDescent="0.15">
      <c r="A345" s="58" t="e">
        <f>'HAULING RATES- ODOT Locations'!#REF!</f>
        <v>#REF!</v>
      </c>
      <c r="B345" s="58" t="e">
        <f>'HAULING RATES- ODOT Locations'!#REF!&amp;"BOL-Stone"</f>
        <v>#REF!</v>
      </c>
    </row>
    <row r="346" spans="1:2" ht="12.75" customHeight="1" x14ac:dyDescent="0.15">
      <c r="A346" s="58">
        <f>'HAULING RATES- ODOT Locations'!$C$231</f>
        <v>0</v>
      </c>
      <c r="B346" s="58" t="str">
        <f>'HAULING RATES- ODOT Locations'!$A$231&amp;"NEW-Stone"</f>
        <v>TuscarawasNEW-Stone</v>
      </c>
    </row>
    <row r="347" spans="1:2" ht="12.75" customHeight="1" x14ac:dyDescent="0.15">
      <c r="A347" s="58">
        <f>'HAULING RATES- ODOT Locations'!$C$232</f>
        <v>0</v>
      </c>
      <c r="B347" s="58" t="str">
        <f>'HAULING RATES- ODOT Locations'!$A$232&amp;"DEN-Stone"</f>
        <v>TuscarawasDEN-Stone</v>
      </c>
    </row>
    <row r="348" spans="1:2" ht="12.75" customHeight="1" x14ac:dyDescent="0.15">
      <c r="A348" s="58">
        <f>'HAULING RATES- ODOT Locations'!$C$236</f>
        <v>4.5</v>
      </c>
      <c r="B348" s="58" t="str">
        <f>'HAULING RATES- ODOT Locations'!$A$236&amp;"CLE-Stone"</f>
        <v>CuyahogaCLE-Stone</v>
      </c>
    </row>
    <row r="349" spans="1:2" ht="12.75" customHeight="1" x14ac:dyDescent="0.15">
      <c r="A349" s="58">
        <f>'HAULING RATES- ODOT Locations'!$C$237</f>
        <v>5</v>
      </c>
      <c r="B349" s="58" t="str">
        <f>'HAULING RATES- ODOT Locations'!$A$237&amp;"IND-Stone"</f>
        <v>CuyahogaIND-Stone</v>
      </c>
    </row>
    <row r="350" spans="1:2" ht="12.75" customHeight="1" x14ac:dyDescent="0.15">
      <c r="A350" s="58" t="e">
        <f>'HAULING RATES- ODOT Locations'!#REF!</f>
        <v>#REF!</v>
      </c>
      <c r="B350" s="58" t="e">
        <f>'HAULING RATES- ODOT Locations'!#REF!&amp;"MAV-Stone"</f>
        <v>#REF!</v>
      </c>
    </row>
    <row r="351" spans="1:2" ht="12.75" customHeight="1" x14ac:dyDescent="0.15">
      <c r="A351" s="58">
        <f>'HAULING RATES- ODOT Locations'!$C$240</f>
        <v>6.5</v>
      </c>
      <c r="B351" s="58" t="str">
        <f>'HAULING RATES- ODOT Locations'!$A$240&amp;"GRC-Stone"</f>
        <v>CuyahogaGRC-Stone</v>
      </c>
    </row>
    <row r="352" spans="1:2" ht="12.75" customHeight="1" x14ac:dyDescent="0.15">
      <c r="A352" s="58">
        <f>'HAULING RATES- ODOT Locations'!$C$242</f>
        <v>6.25</v>
      </c>
      <c r="B352" s="58" t="str">
        <f>'HAULING RATES- ODOT Locations'!$A$242&amp;"WAR-Stone"</f>
        <v>CuyahogaWAR-Stone</v>
      </c>
    </row>
    <row r="353" spans="1:6" ht="12.75" customHeight="1" x14ac:dyDescent="0.15">
      <c r="A353" s="58">
        <f>'HAULING RATES- ODOT Locations'!$C$243</f>
        <v>12.25</v>
      </c>
      <c r="B353" s="58" t="str">
        <f>'HAULING RATES- ODOT Locations'!$A$243&amp;"BUR-Stone"</f>
        <v>GeaugaBUR-Stone</v>
      </c>
    </row>
    <row r="354" spans="1:6" ht="12.75" customHeight="1" x14ac:dyDescent="0.15">
      <c r="A354" s="58">
        <f>'HAULING RATES- ODOT Locations'!$C$244</f>
        <v>12.75</v>
      </c>
      <c r="B354" s="58" t="str">
        <f>'HAULING RATES- ODOT Locations'!$A$244&amp;"MTW-Stone"</f>
        <v>GeaugaMTW-Stone</v>
      </c>
    </row>
    <row r="355" spans="1:6" ht="12.75" customHeight="1" x14ac:dyDescent="0.15">
      <c r="A355" s="58">
        <f>'HAULING RATES- ODOT Locations'!$C$245</f>
        <v>12.25</v>
      </c>
      <c r="B355" s="58" t="str">
        <f>'HAULING RATES- ODOT Locations'!$A$245&amp;"MUN-Stone"</f>
        <v>GeaugaMUN-Stone</v>
      </c>
    </row>
    <row r="356" spans="1:6" ht="12.75" customHeight="1" x14ac:dyDescent="0.15">
      <c r="A356" s="58">
        <f>'HAULING RATES- ODOT Locations'!$C$246</f>
        <v>12.75</v>
      </c>
      <c r="B356" s="58" t="str">
        <f>'HAULING RATES- ODOT Locations'!$A$246&amp;"PAR-Stone"</f>
        <v>GeaugaPAR-Stone</v>
      </c>
    </row>
    <row r="357" spans="1:6" ht="12.75" customHeight="1" x14ac:dyDescent="0.15">
      <c r="A357" s="58">
        <f>'HAULING RATES- ODOT Locations'!$C$247</f>
        <v>12.25</v>
      </c>
      <c r="B357" s="58" t="str">
        <f>'HAULING RATES- ODOT Locations'!$A$247&amp;"PAI-Stone"</f>
        <v>LakePAI-Stone</v>
      </c>
    </row>
    <row r="358" spans="1:6" ht="12.75" customHeight="1" x14ac:dyDescent="0.15">
      <c r="A358" s="58">
        <f>'HAULING RATES- ODOT Locations'!$C$248</f>
        <v>12.25</v>
      </c>
      <c r="B358" s="58" t="str">
        <f>'HAULING RATES- ODOT Locations'!$A$248&amp;"MAD-Stone"</f>
        <v>LakeMAD-Stone</v>
      </c>
    </row>
    <row r="359" spans="1:6" ht="12.75" customHeight="1" x14ac:dyDescent="0.15">
      <c r="A359" s="60">
        <f>'HAULING RATES- ODOT Locations'!$C$250</f>
        <v>12.25</v>
      </c>
      <c r="B359" s="60" t="str">
        <f>'HAULING RATES- ODOT Locations'!$A$250&amp;"LER-Stone"</f>
        <v>LakeLER-Stone</v>
      </c>
      <c r="C359" s="59"/>
      <c r="D359" s="59"/>
      <c r="E359" s="59"/>
      <c r="F359" s="59"/>
    </row>
    <row r="360" spans="1:6" ht="12.75" customHeight="1" x14ac:dyDescent="0.15">
      <c r="A360" s="58" t="e">
        <f>'HAULING RATES- ODOT Locations'!#REF!</f>
        <v>#REF!</v>
      </c>
      <c r="B360" s="58" t="e">
        <f>'HAULING RATES- ODOT Locations'!#REF!&amp;"-Slag"</f>
        <v>#REF!</v>
      </c>
      <c r="C360" s="58"/>
    </row>
    <row r="361" spans="1:6" ht="12.75" customHeight="1" x14ac:dyDescent="0.15">
      <c r="A361" s="58">
        <f>'HAULING RATES- ODOT Locations'!$D$10</f>
        <v>0</v>
      </c>
      <c r="B361" s="58" t="str">
        <f>'HAULING RATES- ODOT Locations'!$A$10&amp;"-Slag"</f>
        <v>Defiance-Slag</v>
      </c>
      <c r="C361" s="58"/>
    </row>
    <row r="362" spans="1:6" ht="12.75" customHeight="1" x14ac:dyDescent="0.15">
      <c r="A362" s="58">
        <f>'HAULING RATES- ODOT Locations'!$D$11</f>
        <v>0</v>
      </c>
      <c r="B362" s="58" t="str">
        <f>'HAULING RATES- ODOT Locations'!$A$11&amp;"-Slag"</f>
        <v>Hancock-Slag</v>
      </c>
      <c r="C362" s="58"/>
    </row>
    <row r="363" spans="1:6" ht="12.75" customHeight="1" x14ac:dyDescent="0.15">
      <c r="A363" s="58">
        <f>'HAULING RATES- ODOT Locations'!$D$12</f>
        <v>0</v>
      </c>
      <c r="B363" s="58" t="str">
        <f>'HAULING RATES- ODOT Locations'!$A$12&amp;"-Slag"</f>
        <v>Hardin-Slag</v>
      </c>
      <c r="C363" s="58"/>
    </row>
    <row r="364" spans="1:6" ht="12.75" customHeight="1" x14ac:dyDescent="0.15">
      <c r="A364" s="58">
        <f>'HAULING RATES- ODOT Locations'!$D$13</f>
        <v>0</v>
      </c>
      <c r="B364" s="58" t="str">
        <f>'HAULING RATES- ODOT Locations'!$A$13&amp;"-Slag"</f>
        <v>Paulding-Slag</v>
      </c>
      <c r="C364" s="58"/>
    </row>
    <row r="365" spans="1:6" ht="12.75" customHeight="1" x14ac:dyDescent="0.15">
      <c r="A365" s="58" t="e">
        <f>'HAULING RATES- ODOT Locations'!#REF!</f>
        <v>#REF!</v>
      </c>
      <c r="B365" s="58" t="e">
        <f>'HAULING RATES- ODOT Locations'!#REF!&amp;"-Slag"</f>
        <v>#REF!</v>
      </c>
      <c r="C365" s="58"/>
    </row>
    <row r="366" spans="1:6" ht="12.75" customHeight="1" x14ac:dyDescent="0.15">
      <c r="A366" s="58">
        <f>'HAULING RATES- ODOT Locations'!$D$15</f>
        <v>0</v>
      </c>
      <c r="B366" s="58" t="str">
        <f>'HAULING RATES- ODOT Locations'!$A$15&amp;"-Slag"</f>
        <v>Van Wert-Slag</v>
      </c>
      <c r="C366" s="58"/>
    </row>
    <row r="367" spans="1:6" ht="12.75" customHeight="1" x14ac:dyDescent="0.15">
      <c r="A367" s="58" t="e">
        <f>'HAULING RATES- ODOT Locations'!#REF!</f>
        <v>#REF!</v>
      </c>
      <c r="B367" s="58" t="e">
        <f>'HAULING RATES- ODOT Locations'!#REF!&amp;"-Slag"</f>
        <v>#REF!</v>
      </c>
      <c r="C367" s="58"/>
    </row>
    <row r="368" spans="1:6" ht="12.75" customHeight="1" x14ac:dyDescent="0.15">
      <c r="A368" s="58">
        <f>'HAULING RATES- ODOT Locations'!$D$20</f>
        <v>0</v>
      </c>
      <c r="B368" s="58" t="str">
        <f>'HAULING RATES- ODOT Locations'!$A$20&amp;"-Slag"</f>
        <v>Fulton-Slag</v>
      </c>
      <c r="C368" s="58"/>
    </row>
    <row r="369" spans="1:3" ht="12.75" customHeight="1" x14ac:dyDescent="0.15">
      <c r="A369" s="58" t="e">
        <f>'HAULING RATES- ODOT Locations'!#REF!</f>
        <v>#REF!</v>
      </c>
      <c r="B369" s="58" t="e">
        <f>'HAULING RATES- ODOT Locations'!#REF!&amp;"-Slag"</f>
        <v>#REF!</v>
      </c>
      <c r="C369" s="58"/>
    </row>
    <row r="370" spans="1:3" ht="12.75" customHeight="1" x14ac:dyDescent="0.15">
      <c r="A370" s="58" t="e">
        <f>'HAULING RATES- ODOT Locations'!#REF!</f>
        <v>#REF!</v>
      </c>
      <c r="B370" s="58" t="e">
        <f>'HAULING RATES- ODOT Locations'!#REF!&amp;"-Slag"</f>
        <v>#REF!</v>
      </c>
      <c r="C370" s="58"/>
    </row>
    <row r="371" spans="1:3" ht="12.75" customHeight="1" x14ac:dyDescent="0.15">
      <c r="A371" s="58">
        <f>'HAULING RATES- ODOT Locations'!$D$23</f>
        <v>0</v>
      </c>
      <c r="B371" s="58" t="str">
        <f>'HAULING RATES- ODOT Locations'!$A$23&amp;"OAK-Slag"</f>
        <v>OttawaOAK-Slag</v>
      </c>
      <c r="C371" s="58"/>
    </row>
    <row r="372" spans="1:3" ht="12.75" customHeight="1" x14ac:dyDescent="0.15">
      <c r="A372" s="58">
        <f>'HAULING RATES- ODOT Locations'!$D$24</f>
        <v>0</v>
      </c>
      <c r="B372" s="58" t="str">
        <f>'HAULING RATES- ODOT Locations'!$A$24&amp;"CLI-Slag"</f>
        <v>OttawaCLI-Slag</v>
      </c>
      <c r="C372" s="58"/>
    </row>
    <row r="373" spans="1:3" ht="12.75" customHeight="1" x14ac:dyDescent="0.15">
      <c r="A373" s="58" t="e">
        <f>'HAULING RATES- ODOT Locations'!#REF!</f>
        <v>#REF!</v>
      </c>
      <c r="B373" s="58" t="e">
        <f>'HAULING RATES- ODOT Locations'!#REF!&amp;"-Slag"</f>
        <v>#REF!</v>
      </c>
      <c r="C373" s="58"/>
    </row>
    <row r="374" spans="1:3" ht="12.75" customHeight="1" x14ac:dyDescent="0.15">
      <c r="A374" s="58">
        <f>'HAULING RATES- ODOT Locations'!$D$26</f>
        <v>0</v>
      </c>
      <c r="B374" s="58" t="str">
        <f>'HAULING RATES- ODOT Locations'!$A$26&amp;"-Slag"</f>
        <v>Seneca-Slag</v>
      </c>
      <c r="C374" s="58"/>
    </row>
    <row r="375" spans="1:3" ht="12.75" customHeight="1" x14ac:dyDescent="0.15">
      <c r="A375" s="58">
        <f>'HAULING RATES- ODOT Locations'!$D$27</f>
        <v>0</v>
      </c>
      <c r="B375" s="58" t="str">
        <f>'HAULING RATES- ODOT Locations'!$A$27&amp;"-Slag"</f>
        <v>Williams-Slag</v>
      </c>
      <c r="C375" s="58"/>
    </row>
    <row r="376" spans="1:3" ht="12.75" customHeight="1" x14ac:dyDescent="0.15">
      <c r="A376" s="58" t="e">
        <f>'HAULING RATES- ODOT Locations'!#REF!</f>
        <v>#REF!</v>
      </c>
      <c r="B376" s="58" t="e">
        <f>'HAULING RATES- ODOT Locations'!#REF!&amp;"BG-Slag"</f>
        <v>#REF!</v>
      </c>
      <c r="C376" s="58"/>
    </row>
    <row r="377" spans="1:3" ht="12.75" customHeight="1" x14ac:dyDescent="0.15">
      <c r="A377" s="58">
        <f>'HAULING RATES- ODOT Locations'!$D$30</f>
        <v>0</v>
      </c>
      <c r="B377" s="58" t="str">
        <f>'HAULING RATES- ODOT Locations'!$A$30&amp;"NW-Slag"</f>
        <v>WoodNW-Slag</v>
      </c>
      <c r="C377" s="58"/>
    </row>
    <row r="378" spans="1:3" ht="12.75" customHeight="1" x14ac:dyDescent="0.15">
      <c r="A378" s="58">
        <f>'HAULING RATES- ODOT Locations'!$D$34</f>
        <v>0</v>
      </c>
      <c r="B378" s="58" t="str">
        <f>'HAULING RATES- ODOT Locations'!$A$34&amp;"-Slag"</f>
        <v>Ashland-Slag</v>
      </c>
      <c r="C378" s="58"/>
    </row>
    <row r="379" spans="1:3" ht="12.75" customHeight="1" x14ac:dyDescent="0.15">
      <c r="A379" s="58" t="e">
        <f>'HAULING RATES- ODOT Locations'!#REF!</f>
        <v>#REF!</v>
      </c>
      <c r="B379" s="58" t="e">
        <f>'HAULING RATES- ODOT Locations'!#REF!&amp;"-Slag"</f>
        <v>#REF!</v>
      </c>
      <c r="C379" s="58"/>
    </row>
    <row r="380" spans="1:3" ht="12.75" customHeight="1" x14ac:dyDescent="0.15">
      <c r="A380" s="58">
        <f>'HAULING RATES- ODOT Locations'!$D$37</f>
        <v>0</v>
      </c>
      <c r="B380" s="58" t="str">
        <f>'HAULING RATES- ODOT Locations'!$A$37&amp;"MIL-Slag"</f>
        <v>ErieMIL-Slag</v>
      </c>
      <c r="C380" s="58"/>
    </row>
    <row r="381" spans="1:3" ht="12.75" customHeight="1" x14ac:dyDescent="0.15">
      <c r="A381" s="58">
        <f>'HAULING RATES- ODOT Locations'!$D$38</f>
        <v>0</v>
      </c>
      <c r="B381" s="58" t="str">
        <f>'HAULING RATES- ODOT Locations'!$A$38&amp;"VER-Slag"</f>
        <v>ErieVER-Slag</v>
      </c>
      <c r="C381" s="58"/>
    </row>
    <row r="382" spans="1:3" ht="12.75" customHeight="1" x14ac:dyDescent="0.15">
      <c r="A382" s="58">
        <f>'HAULING RATES- ODOT Locations'!$D$39</f>
        <v>0</v>
      </c>
      <c r="B382" s="58" t="str">
        <f>'HAULING RATES- ODOT Locations'!$A$39&amp;"-Slag"</f>
        <v>Huron-Slag</v>
      </c>
      <c r="C382" s="58"/>
    </row>
    <row r="383" spans="1:3" ht="12.75" customHeight="1" x14ac:dyDescent="0.15">
      <c r="A383" s="58">
        <f>'HAULING RATES- ODOT Locations'!$D$41</f>
        <v>0</v>
      </c>
      <c r="B383" s="58" t="str">
        <f>'HAULING RATES- ODOT Locations'!$A$41&amp;"OBE-Slag"</f>
        <v>LorainOBE-Slag</v>
      </c>
      <c r="C383" s="58"/>
    </row>
    <row r="384" spans="1:3" ht="12.75" customHeight="1" x14ac:dyDescent="0.15">
      <c r="A384" s="58">
        <f>'HAULING RATES- ODOT Locations'!$D$42</f>
        <v>0</v>
      </c>
      <c r="B384" s="58" t="str">
        <f>'HAULING RATES- ODOT Locations'!$A$42&amp;"AVO-Slag"</f>
        <v>LorainAVO-Slag</v>
      </c>
      <c r="C384" s="58"/>
    </row>
    <row r="385" spans="1:3" ht="12.75" customHeight="1" x14ac:dyDescent="0.15">
      <c r="A385" s="58">
        <f>'HAULING RATES- ODOT Locations'!$D$44</f>
        <v>0</v>
      </c>
      <c r="B385" s="58" t="str">
        <f>'HAULING RATES- ODOT Locations'!$A$44&amp;"MED-Slag"</f>
        <v>MedinaMED-Slag</v>
      </c>
      <c r="C385" s="58"/>
    </row>
    <row r="386" spans="1:3" ht="12.75" customHeight="1" x14ac:dyDescent="0.15">
      <c r="A386" s="58">
        <f>'HAULING RATES- ODOT Locations'!$D$45</f>
        <v>0</v>
      </c>
      <c r="B386" s="58" t="str">
        <f>'HAULING RATES- ODOT Locations'!$A$45&amp;"BUR-Slag"</f>
        <v>MedinaBUR-Slag</v>
      </c>
      <c r="C386" s="58"/>
    </row>
    <row r="387" spans="1:3" ht="12.75" customHeight="1" x14ac:dyDescent="0.15">
      <c r="A387" s="58">
        <f>'HAULING RATES- ODOT Locations'!$D$47</f>
        <v>0</v>
      </c>
      <c r="B387" s="58" t="str">
        <f>'HAULING RATES- ODOT Locations'!$A$47&amp;"MAN-Slag"</f>
        <v>RichlandMAN-Slag</v>
      </c>
      <c r="C387" s="58"/>
    </row>
    <row r="388" spans="1:3" ht="12.75" customHeight="1" x14ac:dyDescent="0.15">
      <c r="A388" s="58">
        <f>'HAULING RATES- ODOT Locations'!$D$48</f>
        <v>0</v>
      </c>
      <c r="B388" s="58" t="str">
        <f>'HAULING RATES- ODOT Locations'!$A$48&amp;"BEL-Slag"</f>
        <v>RichlandBEL-Slag</v>
      </c>
      <c r="C388" s="58"/>
    </row>
    <row r="389" spans="1:3" ht="12.75" customHeight="1" x14ac:dyDescent="0.15">
      <c r="A389" s="58" t="e">
        <f>'HAULING RATES- ODOT Locations'!#REF!</f>
        <v>#REF!</v>
      </c>
      <c r="B389" s="58" t="e">
        <f>'HAULING RATES- ODOT Locations'!#REF!&amp;"-Slag"</f>
        <v>#REF!</v>
      </c>
      <c r="C389" s="58"/>
    </row>
    <row r="390" spans="1:3" ht="12.75" customHeight="1" x14ac:dyDescent="0.15">
      <c r="A390" s="58">
        <f>'HAULING RATES- ODOT Locations'!$D$53</f>
        <v>0</v>
      </c>
      <c r="B390" s="58" t="str">
        <f>'HAULING RATES- ODOT Locations'!$A$53&amp;"ATB-Slag"</f>
        <v>AshtabulaATB-Slag</v>
      </c>
      <c r="C390" s="58"/>
    </row>
    <row r="391" spans="1:3" ht="12.75" customHeight="1" x14ac:dyDescent="0.15">
      <c r="A391" s="58">
        <f>'HAULING RATES- ODOT Locations'!$D$54</f>
        <v>0</v>
      </c>
      <c r="B391" s="58" t="str">
        <f>'HAULING RATES- ODOT Locations'!$A$54&amp;"CON-Slag"</f>
        <v>AshtabulaCON-Slag</v>
      </c>
      <c r="C391" s="58"/>
    </row>
    <row r="392" spans="1:3" ht="12.75" customHeight="1" x14ac:dyDescent="0.15">
      <c r="A392" s="58">
        <f>'HAULING RATES- ODOT Locations'!$D$55</f>
        <v>0</v>
      </c>
      <c r="B392" s="58" t="str">
        <f>'HAULING RATES- ODOT Locations'!$A$55&amp;"DOR-Slag"</f>
        <v>AshtabulaDOR-Slag</v>
      </c>
      <c r="C392" s="58"/>
    </row>
    <row r="393" spans="1:3" ht="12.75" customHeight="1" x14ac:dyDescent="0.15">
      <c r="A393" s="58">
        <f>'HAULING RATES- ODOT Locations'!$D$56</f>
        <v>0</v>
      </c>
      <c r="B393" s="58" t="str">
        <f>'HAULING RATES- ODOT Locations'!$A$56&amp;"GEN-Slag"</f>
        <v>AshtabulaGEN-Slag</v>
      </c>
      <c r="C393" s="58"/>
    </row>
    <row r="394" spans="1:3" ht="12.75" customHeight="1" x14ac:dyDescent="0.15">
      <c r="A394" s="58">
        <f>'HAULING RATES- ODOT Locations'!$D$57</f>
        <v>0</v>
      </c>
      <c r="B394" s="58" t="str">
        <f>'HAULING RATES- ODOT Locations'!$A$57&amp;"ROM-Slag"</f>
        <v>AshtabulaROM-Slag</v>
      </c>
      <c r="C394" s="58"/>
    </row>
    <row r="395" spans="1:3" ht="12.75" customHeight="1" x14ac:dyDescent="0.15">
      <c r="A395" s="58">
        <f>'HAULING RATES- ODOT Locations'!$D$58</f>
        <v>0</v>
      </c>
      <c r="B395" s="58" t="str">
        <f>'HAULING RATES- ODOT Locations'!$A$58&amp;"WIL-Slag"</f>
        <v>AshtabulaWIL-Slag</v>
      </c>
      <c r="C395" s="58"/>
    </row>
    <row r="396" spans="1:3" ht="12.75" customHeight="1" x14ac:dyDescent="0.15">
      <c r="A396" s="58">
        <f>'HAULING RATES- ODOT Locations'!$D$59</f>
        <v>0</v>
      </c>
      <c r="B396" s="58" t="str">
        <f>'HAULING RATES- ODOT Locations'!$A$59&amp;"CAN-Slag"</f>
        <v>MahoningCAN-Slag</v>
      </c>
      <c r="C396" s="58"/>
    </row>
    <row r="397" spans="1:3" ht="12.75" customHeight="1" x14ac:dyDescent="0.15">
      <c r="A397" s="58">
        <f>'HAULING RATES- ODOT Locations'!$D$60</f>
        <v>0</v>
      </c>
      <c r="B397" s="58" t="str">
        <f>'HAULING RATES- ODOT Locations'!$A$60&amp;"NJ-Slag"</f>
        <v>MahoningNJ-Slag</v>
      </c>
      <c r="C397" s="58"/>
    </row>
    <row r="398" spans="1:3" ht="12.75" customHeight="1" x14ac:dyDescent="0.15">
      <c r="A398" s="58">
        <f>'HAULING RATES- ODOT Locations'!$D$61</f>
        <v>0</v>
      </c>
      <c r="B398" s="58" t="str">
        <f>'HAULING RATES- ODOT Locations'!$A$61&amp;"NLI-Slag"</f>
        <v>MahoningNLI-Slag</v>
      </c>
      <c r="C398" s="58"/>
    </row>
    <row r="399" spans="1:3" ht="12.75" customHeight="1" x14ac:dyDescent="0.15">
      <c r="A399" s="58" t="e">
        <f>'HAULING RATES- ODOT Locations'!#REF!</f>
        <v>#REF!</v>
      </c>
      <c r="B399" s="58" t="e">
        <f>'HAULING RATES- ODOT Locations'!#REF!&amp;"BEL-Slag"</f>
        <v>#REF!</v>
      </c>
      <c r="C399" s="58"/>
    </row>
    <row r="400" spans="1:3" ht="12.75" customHeight="1" x14ac:dyDescent="0.15">
      <c r="A400" s="58">
        <f>'HAULING RATES- ODOT Locations'!$D$63</f>
        <v>0</v>
      </c>
      <c r="B400" s="58" t="str">
        <f>'HAULING RATES- ODOT Locations'!$A$63&amp;"YOU-Slag"</f>
        <v>MahoningYOU-Slag</v>
      </c>
      <c r="C400" s="58"/>
    </row>
    <row r="401" spans="1:3" ht="12.75" customHeight="1" x14ac:dyDescent="0.15">
      <c r="A401" s="58">
        <f>'HAULING RATES- ODOT Locations'!$D$64</f>
        <v>0</v>
      </c>
      <c r="B401" s="58" t="str">
        <f>'HAULING RATES- ODOT Locations'!$A$64&amp;"WIN-Slag"</f>
        <v>PortageWIN-Slag</v>
      </c>
      <c r="C401" s="58"/>
    </row>
    <row r="402" spans="1:3" ht="12.75" customHeight="1" x14ac:dyDescent="0.15">
      <c r="A402" s="58">
        <f>'HAULING RATES- ODOT Locations'!$D$65</f>
        <v>0</v>
      </c>
      <c r="B402" s="58" t="str">
        <f>'HAULING RATES- ODOT Locations'!$A$65&amp;"ROO-Slag"</f>
        <v>PortageROO-Slag</v>
      </c>
      <c r="C402" s="58"/>
    </row>
    <row r="403" spans="1:3" ht="12.75" customHeight="1" x14ac:dyDescent="0.15">
      <c r="A403" s="58" t="e">
        <f>'HAULING RATES- ODOT Locations'!#REF!</f>
        <v>#REF!</v>
      </c>
      <c r="B403" s="58" t="e">
        <f>'HAULING RATES- ODOT Locations'!#REF!&amp;"DEE-Slag"</f>
        <v>#REF!</v>
      </c>
      <c r="C403" s="58"/>
    </row>
    <row r="404" spans="1:3" ht="12.75" customHeight="1" x14ac:dyDescent="0.15">
      <c r="A404" s="58">
        <f>'HAULING RATES- ODOT Locations'!$D$67</f>
        <v>0</v>
      </c>
      <c r="B404" s="58" t="str">
        <f>'HAULING RATES- ODOT Locations'!$A$67&amp;"CAN-Slag"</f>
        <v>StarkCAN-Slag</v>
      </c>
      <c r="C404" s="58"/>
    </row>
    <row r="405" spans="1:3" ht="12.75" customHeight="1" x14ac:dyDescent="0.15">
      <c r="A405" s="58">
        <f>'HAULING RATES- ODOT Locations'!$D$68</f>
        <v>0</v>
      </c>
      <c r="B405" s="58" t="str">
        <f>'HAULING RATES- ODOT Locations'!$A$68&amp;"MAS-Slag"</f>
        <v>StarkMAS-Slag</v>
      </c>
      <c r="C405" s="58"/>
    </row>
    <row r="406" spans="1:3" ht="12.75" customHeight="1" x14ac:dyDescent="0.15">
      <c r="A406" s="58">
        <f>'HAULING RATES- ODOT Locations'!$D$70</f>
        <v>0</v>
      </c>
      <c r="B406" s="58" t="str">
        <f>'HAULING RATES- ODOT Locations'!$A$70&amp;"HUD-Slag"</f>
        <v>SummitHUD-Slag</v>
      </c>
      <c r="C406" s="58"/>
    </row>
    <row r="407" spans="1:3" ht="12.75" customHeight="1" x14ac:dyDescent="0.15">
      <c r="A407" s="58">
        <f>'HAULING RATES- ODOT Locations'!$D$71</f>
        <v>0</v>
      </c>
      <c r="B407" s="58" t="str">
        <f>'HAULING RATES- ODOT Locations'!$A$71&amp;"TWI-Slag"</f>
        <v>SummitTWI-Slag</v>
      </c>
      <c r="C407" s="58"/>
    </row>
    <row r="408" spans="1:3" ht="12.75" customHeight="1" x14ac:dyDescent="0.15">
      <c r="A408" s="58">
        <f>'HAULING RATES- ODOT Locations'!$D$72</f>
        <v>0</v>
      </c>
      <c r="B408" s="58" t="str">
        <f>'HAULING RATES- ODOT Locations'!$A$72&amp;"NOR-Slag"</f>
        <v>SummitNOR-Slag</v>
      </c>
      <c r="C408" s="58"/>
    </row>
    <row r="409" spans="1:3" ht="12.75" customHeight="1" x14ac:dyDescent="0.15">
      <c r="A409" s="58">
        <f>'HAULING RATES- ODOT Locations'!$D$73</f>
        <v>0</v>
      </c>
      <c r="B409" s="58" t="str">
        <f>'HAULING RATES- ODOT Locations'!$A$73&amp;"CAN-Slag"</f>
        <v>SummitCAN-Slag</v>
      </c>
      <c r="C409" s="58"/>
    </row>
    <row r="410" spans="1:3" ht="12.75" customHeight="1" x14ac:dyDescent="0.15">
      <c r="A410" s="58">
        <f>'HAULING RATES- ODOT Locations'!$D$74</f>
        <v>0</v>
      </c>
      <c r="B410" s="58" t="str">
        <f>'HAULING RATES- ODOT Locations'!$A$74&amp;"AKR-Slag"</f>
        <v>SummitAKR-Slag</v>
      </c>
      <c r="C410" s="58"/>
    </row>
    <row r="411" spans="1:3" ht="12.75" customHeight="1" x14ac:dyDescent="0.15">
      <c r="A411" s="58">
        <f>'HAULING RATES- ODOT Locations'!$D$75</f>
        <v>0</v>
      </c>
      <c r="B411" s="58" t="str">
        <f>'HAULING RATES- ODOT Locations'!$A$75&amp;"HUB-Slag"</f>
        <v>TrumbullHUB-Slag</v>
      </c>
      <c r="C411" s="58"/>
    </row>
    <row r="412" spans="1:3" ht="12.75" customHeight="1" x14ac:dyDescent="0.15">
      <c r="A412" s="58">
        <f>'HAULING RATES- ODOT Locations'!$D$76</f>
        <v>0</v>
      </c>
      <c r="B412" s="58" t="str">
        <f>'HAULING RATES- ODOT Locations'!$A$76&amp;"COR-Slag"</f>
        <v>TrumbullCOR-Slag</v>
      </c>
      <c r="C412" s="58"/>
    </row>
    <row r="413" spans="1:3" ht="12.75" customHeight="1" x14ac:dyDescent="0.15">
      <c r="A413" s="58">
        <f>'HAULING RATES- ODOT Locations'!$D$77</f>
        <v>0</v>
      </c>
      <c r="B413" s="58" t="str">
        <f>'HAULING RATES- ODOT Locations'!$A$77&amp;"NB-Slag"</f>
        <v>TrumbullNB-Slag</v>
      </c>
      <c r="C413" s="58"/>
    </row>
    <row r="414" spans="1:3" ht="12.75" customHeight="1" x14ac:dyDescent="0.15">
      <c r="A414" s="58">
        <f>'HAULING RATES- ODOT Locations'!$D$78</f>
        <v>0</v>
      </c>
      <c r="B414" s="58" t="str">
        <f>'HAULING RATES- ODOT Locations'!$A$78&amp;"FAR-Slag"</f>
        <v>TrumbullFAR-Slag</v>
      </c>
      <c r="C414" s="58"/>
    </row>
    <row r="415" spans="1:3" ht="12.75" customHeight="1" x14ac:dyDescent="0.15">
      <c r="A415" s="58">
        <f>'HAULING RATES- ODOT Locations'!$D$79</f>
        <v>0</v>
      </c>
      <c r="B415" s="58" t="str">
        <f>'HAULING RATES- ODOT Locations'!$A$79&amp;"LEV-Slag"</f>
        <v>TrumbullLEV-Slag</v>
      </c>
      <c r="C415" s="58"/>
    </row>
    <row r="416" spans="1:3" ht="12.75" customHeight="1" x14ac:dyDescent="0.15">
      <c r="A416" s="58">
        <f>'HAULING RATES- ODOT Locations'!$D$83</f>
        <v>0</v>
      </c>
      <c r="B416" s="58" t="str">
        <f>'HAULING RATES- ODOT Locations'!$A$83&amp;"COS-Slag"</f>
        <v>CoshoctonCOS-Slag</v>
      </c>
      <c r="C416" s="58"/>
    </row>
    <row r="417" spans="1:3" ht="12.75" customHeight="1" x14ac:dyDescent="0.15">
      <c r="A417" s="58">
        <f>'HAULING RATES- ODOT Locations'!$D$84</f>
        <v>0</v>
      </c>
      <c r="B417" s="58" t="str">
        <f>'HAULING RATES- ODOT Locations'!$A$84&amp;"NC-Slag"</f>
        <v>CoshoctonNC-Slag</v>
      </c>
      <c r="C417" s="58"/>
    </row>
    <row r="418" spans="1:3" ht="12.75" customHeight="1" x14ac:dyDescent="0.15">
      <c r="A418" s="58">
        <f>'HAULING RATES- ODOT Locations'!$D$85</f>
        <v>0</v>
      </c>
      <c r="B418" s="58" t="str">
        <f>'HAULING RATES- ODOT Locations'!$A$85&amp;"BAL-Slag"</f>
        <v>FairfieldBAL-Slag</v>
      </c>
      <c r="C418" s="58"/>
    </row>
    <row r="419" spans="1:3" ht="12.75" customHeight="1" x14ac:dyDescent="0.15">
      <c r="A419" s="58" t="e">
        <f>'HAULING RATES- ODOT Locations'!#REF!</f>
        <v>#REF!</v>
      </c>
      <c r="B419" s="58" t="e">
        <f>'HAULING RATES- ODOT Locations'!#REF!&amp;"LAN-Slag"</f>
        <v>#REF!</v>
      </c>
      <c r="C419" s="58"/>
    </row>
    <row r="420" spans="1:3" ht="12.75" customHeight="1" x14ac:dyDescent="0.15">
      <c r="A420" s="58">
        <f>'HAULING RATES- ODOT Locations'!$D$87</f>
        <v>0</v>
      </c>
      <c r="B420" s="58" t="str">
        <f>'HAULING RATES- ODOT Locations'!$A$87&amp;"RUS-Slag"</f>
        <v>FairfieldRUS-Slag</v>
      </c>
      <c r="C420" s="58"/>
    </row>
    <row r="421" spans="1:3" ht="12.75" customHeight="1" x14ac:dyDescent="0.15">
      <c r="A421" s="58">
        <f>'HAULING RATES- ODOT Locations'!$D$88</f>
        <v>0</v>
      </c>
      <c r="B421" s="58" t="str">
        <f>'HAULING RATES- ODOT Locations'!$A$88&amp;"CAM-Slag"</f>
        <v>GuernseyCAM-Slag</v>
      </c>
      <c r="C421" s="58"/>
    </row>
    <row r="422" spans="1:3" ht="12.75" customHeight="1" x14ac:dyDescent="0.15">
      <c r="A422" s="58">
        <f>'HAULING RATES- ODOT Locations'!$D$89</f>
        <v>0</v>
      </c>
      <c r="B422" s="58" t="str">
        <f>'HAULING RATES- ODOT Locations'!$A$89&amp;"KIM-Slag"</f>
        <v>GuernseyKIM-Slag</v>
      </c>
      <c r="C422" s="58"/>
    </row>
    <row r="423" spans="1:3" ht="12.75" customHeight="1" x14ac:dyDescent="0.15">
      <c r="A423" s="58">
        <f>'HAULING RATES- ODOT Locations'!$D$90</f>
        <v>0</v>
      </c>
      <c r="B423" s="58" t="str">
        <f>'HAULING RATES- ODOT Locations'!$A$90&amp;"LCI-Slag"</f>
        <v>GuernseyLCI-Slag</v>
      </c>
      <c r="C423" s="58"/>
    </row>
    <row r="424" spans="1:3" ht="12.75" customHeight="1" x14ac:dyDescent="0.15">
      <c r="A424" s="58">
        <f>'HAULING RATES- ODOT Locations'!$D$91</f>
        <v>0</v>
      </c>
      <c r="B424" s="58" t="str">
        <f>'HAULING RATES- ODOT Locations'!$A$91&amp;"MTV-Slag"</f>
        <v>KnoxMTV-Slag</v>
      </c>
      <c r="C424" s="58"/>
    </row>
    <row r="425" spans="1:3" ht="12.75" customHeight="1" x14ac:dyDescent="0.15">
      <c r="A425" s="58" t="e">
        <f>'HAULING RATES- ODOT Locations'!#REF!</f>
        <v>#REF!</v>
      </c>
      <c r="B425" s="58" t="e">
        <f>'HAULING RATES- ODOT Locations'!#REF!&amp;"DAN-Slag"</f>
        <v>#REF!</v>
      </c>
      <c r="C425" s="58"/>
    </row>
    <row r="426" spans="1:3" ht="12.75" customHeight="1" x14ac:dyDescent="0.15">
      <c r="A426" s="58">
        <f>'HAULING RATES- ODOT Locations'!$D$92</f>
        <v>0</v>
      </c>
      <c r="B426" s="58" t="str">
        <f>'HAULING RATES- ODOT Locations'!$A$92&amp;"FRE-Slag"</f>
        <v>KnoxFRE-Slag</v>
      </c>
      <c r="C426" s="58"/>
    </row>
    <row r="427" spans="1:3" ht="12.75" customHeight="1" x14ac:dyDescent="0.15">
      <c r="A427" s="58">
        <f>'HAULING RATES- ODOT Locations'!$D$93</f>
        <v>0</v>
      </c>
      <c r="B427" s="58" t="str">
        <f>'HAULING RATES- ODOT Locations'!$A$93&amp;"JAC-Slag"</f>
        <v>LickingJAC-Slag</v>
      </c>
      <c r="C427" s="58"/>
    </row>
    <row r="428" spans="1:3" ht="12.75" customHeight="1" x14ac:dyDescent="0.15">
      <c r="A428" s="58">
        <f>'HAULING RATES- ODOT Locations'!$D$94</f>
        <v>0</v>
      </c>
      <c r="B428" s="58" t="str">
        <f>'HAULING RATES- ODOT Locations'!$A$94&amp;"PAT-Slag"</f>
        <v>LickingPAT-Slag</v>
      </c>
      <c r="C428" s="58"/>
    </row>
    <row r="429" spans="1:3" ht="12.75" customHeight="1" x14ac:dyDescent="0.15">
      <c r="A429" s="58">
        <f>'HAULING RATES- ODOT Locations'!$D$95</f>
        <v>0</v>
      </c>
      <c r="B429" s="58" t="str">
        <f>'HAULING RATES- ODOT Locations'!$A$95&amp;"UTI-Slag"</f>
        <v>LickingUTI-Slag</v>
      </c>
      <c r="C429" s="58"/>
    </row>
    <row r="430" spans="1:3" ht="12.75" customHeight="1" x14ac:dyDescent="0.15">
      <c r="A430" s="58">
        <f>'HAULING RATES- ODOT Locations'!$D$96</f>
        <v>0</v>
      </c>
      <c r="B430" s="58" t="str">
        <f>'HAULING RATES- ODOT Locations'!$A$96&amp;"BRO-Slag"</f>
        <v>LickingBRO-Slag</v>
      </c>
      <c r="C430" s="58"/>
    </row>
    <row r="431" spans="1:3" ht="12.75" customHeight="1" x14ac:dyDescent="0.15">
      <c r="A431" s="58">
        <f>'HAULING RATES- ODOT Locations'!$D$97</f>
        <v>0</v>
      </c>
      <c r="B431" s="58" t="str">
        <f>'HAULING RATES- ODOT Locations'!$A$97&amp;"NEW-Slag"</f>
        <v>LickingNEW-Slag</v>
      </c>
      <c r="C431" s="58"/>
    </row>
    <row r="432" spans="1:3" ht="12.75" customHeight="1" x14ac:dyDescent="0.15">
      <c r="A432" s="58">
        <f>'HAULING RATES- ODOT Locations'!$D$98</f>
        <v>0</v>
      </c>
      <c r="B432" s="58" t="str">
        <f>'HAULING RATES- ODOT Locations'!$A$98&amp;"ZAN-Slag"</f>
        <v>MuskingumZAN-Slag</v>
      </c>
      <c r="C432" s="58"/>
    </row>
    <row r="433" spans="1:3" ht="12.75" customHeight="1" x14ac:dyDescent="0.15">
      <c r="A433" s="58" t="e">
        <f>'HAULING RATES- ODOT Locations'!#REF!</f>
        <v>#REF!</v>
      </c>
      <c r="B433" s="58" t="e">
        <f>'HAULING RATES- ODOT Locations'!#REF!&amp;"DRE-Slag"</f>
        <v>#REF!</v>
      </c>
      <c r="C433" s="58"/>
    </row>
    <row r="434" spans="1:3" ht="12.75" customHeight="1" x14ac:dyDescent="0.15">
      <c r="A434" s="58">
        <f>'HAULING RATES- ODOT Locations'!$D$100</f>
        <v>0</v>
      </c>
      <c r="B434" s="58" t="str">
        <f>'HAULING RATES- ODOT Locations'!$A$100&amp;"DUN-Slag"</f>
        <v>MuskingumDUN-Slag</v>
      </c>
      <c r="C434" s="58"/>
    </row>
    <row r="435" spans="1:3" ht="12.75" customHeight="1" x14ac:dyDescent="0.15">
      <c r="A435" s="58">
        <f>'HAULING RATES- ODOT Locations'!$D$101</f>
        <v>0</v>
      </c>
      <c r="B435" s="58" t="str">
        <f>'HAULING RATES- ODOT Locations'!$A$101&amp;"MAY-Slag"</f>
        <v>MuskingumMAY-Slag</v>
      </c>
      <c r="C435" s="58"/>
    </row>
    <row r="436" spans="1:3" ht="12.75" customHeight="1" x14ac:dyDescent="0.15">
      <c r="A436" s="58">
        <f>'HAULING RATES- ODOT Locations'!$D$102</f>
        <v>0</v>
      </c>
      <c r="B436" s="58" t="str">
        <f>'HAULING RATES- ODOT Locations'!$A$102&amp;"NLE-Slag"</f>
        <v>PerryNLE-Slag</v>
      </c>
      <c r="C436" s="58"/>
    </row>
    <row r="437" spans="1:3" ht="12.75" customHeight="1" x14ac:dyDescent="0.15">
      <c r="A437" s="58">
        <f>'HAULING RATES- ODOT Locations'!$D$103</f>
        <v>0</v>
      </c>
      <c r="B437" s="58" t="str">
        <f>'HAULING RATES- ODOT Locations'!$A$103&amp;"SHA-Slag"</f>
        <v>PerrySHA-Slag</v>
      </c>
      <c r="C437" s="58"/>
    </row>
    <row r="438" spans="1:3" ht="12.75" customHeight="1" x14ac:dyDescent="0.15">
      <c r="A438" s="58">
        <f>'HAULING RATES- ODOT Locations'!$D$107</f>
        <v>0</v>
      </c>
      <c r="B438" s="58" t="str">
        <f>'HAULING RATES- ODOT Locations'!$A$107&amp;"DEL-Slag"</f>
        <v>DelawareDEL-Slag</v>
      </c>
      <c r="C438" s="58"/>
    </row>
    <row r="439" spans="1:3" ht="12.75" customHeight="1" x14ac:dyDescent="0.15">
      <c r="A439" s="58">
        <f>'HAULING RATES- ODOT Locations'!$D$108</f>
        <v>0</v>
      </c>
      <c r="B439" s="58" t="str">
        <f>'HAULING RATES- ODOT Locations'!$A$108&amp;"BER-Slag"</f>
        <v>DelawareBER-Slag</v>
      </c>
      <c r="C439" s="58"/>
    </row>
    <row r="440" spans="1:3" ht="12.75" customHeight="1" x14ac:dyDescent="0.15">
      <c r="A440" s="58">
        <f>'HAULING RATES- ODOT Locations'!$D$109</f>
        <v>0</v>
      </c>
      <c r="B440" s="58" t="str">
        <f>'HAULING RATES- ODOT Locations'!$A$109&amp;"SUN-Slag"</f>
        <v>DelawareSUN-Slag</v>
      </c>
      <c r="C440" s="58"/>
    </row>
    <row r="441" spans="1:3" ht="12.75" customHeight="1" x14ac:dyDescent="0.15">
      <c r="A441" s="58">
        <f>'HAULING RATES- ODOT Locations'!$D$110</f>
        <v>0</v>
      </c>
      <c r="B441" s="58" t="str">
        <f>'HAULING RATES- ODOT Locations'!$A$110&amp;"WAS-Slag"</f>
        <v>FayetteWAS-Slag</v>
      </c>
      <c r="C441" s="58"/>
    </row>
    <row r="442" spans="1:3" ht="12.75" customHeight="1" x14ac:dyDescent="0.15">
      <c r="A442" s="58">
        <f>'HAULING RATES- ODOT Locations'!$D$111</f>
        <v>0</v>
      </c>
      <c r="B442" s="58" t="str">
        <f>'HAULING RATES- ODOT Locations'!$A$111&amp;"JEF-Slag"</f>
        <v>FayetteJEF-Slag</v>
      </c>
      <c r="C442" s="58"/>
    </row>
    <row r="443" spans="1:3" ht="12.75" customHeight="1" x14ac:dyDescent="0.15">
      <c r="A443" s="58">
        <f>'HAULING RATES- ODOT Locations'!$D$112</f>
        <v>0</v>
      </c>
      <c r="B443" s="58" t="str">
        <f>'HAULING RATES- ODOT Locations'!$A$112&amp;"COL-Slag"</f>
        <v>FranklinCOL-Slag</v>
      </c>
      <c r="C443" s="58"/>
    </row>
    <row r="444" spans="1:3" ht="12.75" customHeight="1" x14ac:dyDescent="0.15">
      <c r="A444" s="58">
        <f>'HAULING RATES- ODOT Locations'!$D$113</f>
        <v>0</v>
      </c>
      <c r="B444" s="58" t="str">
        <f>'HAULING RATES- ODOT Locations'!$A$113&amp;"GCI-Slag"</f>
        <v>FranklinGCI-Slag</v>
      </c>
      <c r="C444" s="58"/>
    </row>
    <row r="445" spans="1:3" ht="12.75" customHeight="1" x14ac:dyDescent="0.15">
      <c r="A445" s="58" t="e">
        <f>'HAULING RATES- ODOT Locations'!#REF!</f>
        <v>#REF!</v>
      </c>
      <c r="B445" s="58" t="e">
        <f>'HAULING RATES- ODOT Locations'!#REF!&amp;"WOR-Slag"</f>
        <v>#REF!</v>
      </c>
      <c r="C445" s="58"/>
    </row>
    <row r="446" spans="1:3" ht="12.75" customHeight="1" x14ac:dyDescent="0.15">
      <c r="A446" s="58">
        <f>'HAULING RATES- ODOT Locations'!$D$114</f>
        <v>0</v>
      </c>
      <c r="B446" s="58" t="str">
        <f>'HAULING RATES- ODOT Locations'!$A$114&amp;"WES-Slag"</f>
        <v>FranklinWES-Slag</v>
      </c>
      <c r="C446" s="58"/>
    </row>
    <row r="447" spans="1:3" ht="12.75" customHeight="1" x14ac:dyDescent="0.15">
      <c r="A447" s="58">
        <f>'HAULING RATES- ODOT Locations'!$D$115</f>
        <v>0</v>
      </c>
      <c r="B447" s="58" t="str">
        <f>'HAULING RATES- ODOT Locations'!$A$115&amp;"HIL-Slag"</f>
        <v>FranklinHIL-Slag</v>
      </c>
      <c r="C447" s="58"/>
    </row>
    <row r="448" spans="1:3" ht="12.75" customHeight="1" x14ac:dyDescent="0.15">
      <c r="A448" s="58" t="e">
        <f>'HAULING RATES- ODOT Locations'!#REF!</f>
        <v>#REF!</v>
      </c>
      <c r="B448" s="58" t="e">
        <f>'HAULING RATES- ODOT Locations'!#REF!&amp;"CWC-Slag"</f>
        <v>#REF!</v>
      </c>
      <c r="C448" s="58"/>
    </row>
    <row r="449" spans="1:3" ht="12.75" customHeight="1" x14ac:dyDescent="0.15">
      <c r="A449" s="58" t="e">
        <f>'HAULING RATES- ODOT Locations'!#REF!</f>
        <v>#REF!</v>
      </c>
      <c r="B449" s="58" t="e">
        <f>'HAULING RATES- ODOT Locations'!#REF!&amp;"LON-Slag"</f>
        <v>#REF!</v>
      </c>
      <c r="C449" s="58"/>
    </row>
    <row r="450" spans="1:3" ht="12.75" customHeight="1" x14ac:dyDescent="0.15">
      <c r="A450" s="58" t="e">
        <f>'HAULING RATES- ODOT Locations'!#REF!</f>
        <v>#REF!</v>
      </c>
      <c r="B450" s="58" t="e">
        <f>'HAULING RATES- ODOT Locations'!#REF!&amp;"MTS-Slag"</f>
        <v>#REF!</v>
      </c>
      <c r="C450" s="58"/>
    </row>
    <row r="451" spans="1:3" ht="12.75" customHeight="1" x14ac:dyDescent="0.15">
      <c r="A451" s="58" t="e">
        <f>'HAULING RATES- ODOT Locations'!#REF!</f>
        <v>#REF!</v>
      </c>
      <c r="B451" s="58" t="e">
        <f>'HAULING RATES- ODOT Locations'!#REF!&amp;"LAF-Slag"</f>
        <v>#REF!</v>
      </c>
      <c r="C451" s="58"/>
    </row>
    <row r="452" spans="1:3" ht="12.75" customHeight="1" x14ac:dyDescent="0.15">
      <c r="A452" s="58" t="e">
        <f>'HAULING RATES- ODOT Locations'!#REF!</f>
        <v>#REF!</v>
      </c>
      <c r="B452" s="58" t="e">
        <f>'HAULING RATES- ODOT Locations'!#REF!&amp;"WJE-Slag"</f>
        <v>#REF!</v>
      </c>
      <c r="C452" s="58"/>
    </row>
    <row r="453" spans="1:3" ht="12.75" customHeight="1" x14ac:dyDescent="0.15">
      <c r="A453" s="58">
        <f>'HAULING RATES- ODOT Locations'!$D$118</f>
        <v>0</v>
      </c>
      <c r="B453" s="58" t="str">
        <f>'HAULING RATES- ODOT Locations'!$A$118&amp;"MWI-Slag"</f>
        <v>MarionMWI-Slag</v>
      </c>
      <c r="C453" s="58"/>
    </row>
    <row r="454" spans="1:3" ht="12.75" customHeight="1" x14ac:dyDescent="0.15">
      <c r="A454" s="58" t="e">
        <f>'HAULING RATES- ODOT Locations'!#REF!</f>
        <v>#REF!</v>
      </c>
      <c r="B454" s="58" t="e">
        <f>'HAULING RATES- ODOT Locations'!#REF!&amp;"MAR-Slag"</f>
        <v>#REF!</v>
      </c>
      <c r="C454" s="58"/>
    </row>
    <row r="455" spans="1:3" ht="12.75" customHeight="1" x14ac:dyDescent="0.15">
      <c r="A455" s="58">
        <f>'HAULING RATES- ODOT Locations'!$D$119</f>
        <v>0</v>
      </c>
      <c r="B455" s="58" t="str">
        <f>'HAULING RATES- ODOT Locations'!$A$119&amp;"CHV-Slag"</f>
        <v>MorrowCHV-Slag</v>
      </c>
      <c r="C455" s="58"/>
    </row>
    <row r="456" spans="1:3" ht="12.75" customHeight="1" x14ac:dyDescent="0.15">
      <c r="A456" s="58">
        <f>'HAULING RATES- ODOT Locations'!$D$120</f>
        <v>0</v>
      </c>
      <c r="B456" s="58" t="str">
        <f>'HAULING RATES- ODOT Locations'!$A$120&amp;"MTG-Slag"</f>
        <v>MorrowMTG-Slag</v>
      </c>
      <c r="C456" s="58"/>
    </row>
    <row r="457" spans="1:3" ht="12.75" customHeight="1" x14ac:dyDescent="0.15">
      <c r="A457" s="58">
        <f>'HAULING RATES- ODOT Locations'!$D$121</f>
        <v>0</v>
      </c>
      <c r="B457" s="58" t="str">
        <f>'HAULING RATES- ODOT Locations'!$A$121&amp;"CIR-Slag"</f>
        <v>PickawayCIR-Slag</v>
      </c>
      <c r="C457" s="58"/>
    </row>
    <row r="458" spans="1:3" ht="12.75" customHeight="1" x14ac:dyDescent="0.15">
      <c r="A458" s="58">
        <f>'HAULING RATES- ODOT Locations'!$D$122</f>
        <v>0</v>
      </c>
      <c r="B458" s="58" t="str">
        <f>'HAULING RATES- ODOT Locations'!$A$122&amp;"MAR-Slag"</f>
        <v>UnionMAR-Slag</v>
      </c>
      <c r="C458" s="58"/>
    </row>
    <row r="459" spans="1:3" ht="12.75" customHeight="1" x14ac:dyDescent="0.15">
      <c r="A459" s="58">
        <f>'HAULING RATES- ODOT Locations'!$D$123</f>
        <v>0</v>
      </c>
      <c r="B459" s="58" t="str">
        <f>'HAULING RATES- ODOT Locations'!$A$123&amp;"RIC-Slag"</f>
        <v>UnionRIC-Slag</v>
      </c>
      <c r="C459" s="58"/>
    </row>
    <row r="460" spans="1:3" ht="12.75" customHeight="1" x14ac:dyDescent="0.15">
      <c r="A460" s="58">
        <f>'HAULING RATES- ODOT Locations'!$D$127</f>
        <v>0</v>
      </c>
      <c r="B460" s="58" t="str">
        <f>'HAULING RATES- ODOT Locations'!$A$127&amp;"WAP-Slag"</f>
        <v>AuglaizeWAP-Slag</v>
      </c>
      <c r="C460" s="58"/>
    </row>
    <row r="461" spans="1:3" ht="12.75" customHeight="1" x14ac:dyDescent="0.15">
      <c r="A461" s="58">
        <f>'HAULING RATES- ODOT Locations'!$D$128</f>
        <v>0</v>
      </c>
      <c r="B461" s="58" t="str">
        <f>'HAULING RATES- ODOT Locations'!$A$128&amp;"STM-Slag"</f>
        <v>AuglaizeSTM-Slag</v>
      </c>
      <c r="C461" s="58"/>
    </row>
    <row r="462" spans="1:3" ht="12.75" customHeight="1" x14ac:dyDescent="0.15">
      <c r="A462" s="58">
        <f>'HAULING RATES- ODOT Locations'!$D$129</f>
        <v>0</v>
      </c>
      <c r="B462" s="58" t="str">
        <f>'HAULING RATES- ODOT Locations'!$A$129&amp;"URB-Slag"</f>
        <v>ChampaignURB-Slag</v>
      </c>
      <c r="C462" s="58"/>
    </row>
    <row r="463" spans="1:3" ht="12.75" customHeight="1" x14ac:dyDescent="0.15">
      <c r="A463" s="58">
        <f>'HAULING RATES- ODOT Locations'!$D$130</f>
        <v>0</v>
      </c>
      <c r="B463" s="58" t="str">
        <f>'HAULING RATES- ODOT Locations'!$A$130&amp;"STP-Slag"</f>
        <v>ChampaignSTP-Slag</v>
      </c>
      <c r="C463" s="58"/>
    </row>
    <row r="464" spans="1:3" ht="12.75" customHeight="1" x14ac:dyDescent="0.15">
      <c r="A464" s="58">
        <f>'HAULING RATES- ODOT Locations'!$D$131</f>
        <v>0</v>
      </c>
      <c r="B464" s="58" t="str">
        <f>'HAULING RATES- ODOT Locations'!$A$131&amp;"WOO-Slag"</f>
        <v>ChampaignWOO-Slag</v>
      </c>
      <c r="C464" s="58"/>
    </row>
    <row r="465" spans="1:3" ht="12.75" customHeight="1" x14ac:dyDescent="0.15">
      <c r="A465" s="58">
        <f>'HAULING RATES- ODOT Locations'!$D$132</f>
        <v>0</v>
      </c>
      <c r="B465" s="58" t="str">
        <f>'HAULING RATES- ODOT Locations'!$A$132&amp;"SPR-Slag"</f>
        <v>ClarkSPR-Slag</v>
      </c>
      <c r="C465" s="58"/>
    </row>
    <row r="466" spans="1:3" ht="12.75" customHeight="1" x14ac:dyDescent="0.15">
      <c r="A466" s="58">
        <f>'HAULING RATES- ODOT Locations'!$D$133</f>
        <v>0</v>
      </c>
      <c r="B466" s="58" t="str">
        <f>'HAULING RATES- ODOT Locations'!$A$133&amp;"ENO-Slag"</f>
        <v>ClarkENO-Slag</v>
      </c>
      <c r="C466" s="58"/>
    </row>
    <row r="467" spans="1:3" ht="12.75" customHeight="1" x14ac:dyDescent="0.15">
      <c r="A467" s="58">
        <f>'HAULING RATES- ODOT Locations'!$D$134</f>
        <v>0</v>
      </c>
      <c r="B467" s="58" t="str">
        <f>'HAULING RATES- ODOT Locations'!$A$134&amp;"HAR-Slag"</f>
        <v>ClarkHAR-Slag</v>
      </c>
      <c r="C467" s="58"/>
    </row>
    <row r="468" spans="1:3" ht="12.75" customHeight="1" x14ac:dyDescent="0.15">
      <c r="A468" s="58">
        <f>'HAULING RATES- ODOT Locations'!$D$135</f>
        <v>0</v>
      </c>
      <c r="B468" s="58" t="str">
        <f>'HAULING RATES- ODOT Locations'!$A$135&amp;"GRE-Slag"</f>
        <v>DarkeGRE-Slag</v>
      </c>
      <c r="C468" s="58"/>
    </row>
    <row r="469" spans="1:3" ht="12.75" customHeight="1" x14ac:dyDescent="0.15">
      <c r="A469" s="58">
        <f>'HAULING RATES- ODOT Locations'!$D$136</f>
        <v>0</v>
      </c>
      <c r="B469" s="58" t="str">
        <f>'HAULING RATES- ODOT Locations'!$A$136&amp;"DAW-Slag"</f>
        <v>DarkeDAW-Slag</v>
      </c>
      <c r="C469" s="58"/>
    </row>
    <row r="470" spans="1:3" ht="12.75" customHeight="1" x14ac:dyDescent="0.15">
      <c r="A470" s="58" t="e">
        <f>'HAULING RATES- ODOT Locations'!#REF!</f>
        <v>#REF!</v>
      </c>
      <c r="B470" s="58" t="e">
        <f>'HAULING RATES- ODOT Locations'!#REF!&amp;"BEL-Slag"</f>
        <v>#REF!</v>
      </c>
      <c r="C470" s="58"/>
    </row>
    <row r="471" spans="1:3" ht="12.75" customHeight="1" x14ac:dyDescent="0.15">
      <c r="A471" s="58">
        <f>'HAULING RATES- ODOT Locations'!$D$137</f>
        <v>0</v>
      </c>
      <c r="B471" s="58" t="str">
        <f>'HAULING RATES- ODOT Locations'!$A$137&amp;"LAK-Slag"</f>
        <v>LoganLAK-Slag</v>
      </c>
      <c r="C471" s="58"/>
    </row>
    <row r="472" spans="1:3" ht="12.75" customHeight="1" x14ac:dyDescent="0.15">
      <c r="A472" s="58">
        <f>'HAULING RATES- ODOT Locations'!$D$138</f>
        <v>0</v>
      </c>
      <c r="B472" s="58" t="str">
        <f>'HAULING RATES- ODOT Locations'!$A$138&amp;"ZAN-Slag"</f>
        <v>LoganZAN-Slag</v>
      </c>
      <c r="C472" s="58"/>
    </row>
    <row r="473" spans="1:3" ht="12.75" customHeight="1" x14ac:dyDescent="0.15">
      <c r="A473" s="58">
        <f>'HAULING RATES- ODOT Locations'!$D$139</f>
        <v>0</v>
      </c>
      <c r="B473" s="58" t="str">
        <f>'HAULING RATES- ODOT Locations'!$A$139&amp;"BEL-Slag"</f>
        <v>LoganBEL-Slag</v>
      </c>
      <c r="C473" s="58"/>
    </row>
    <row r="474" spans="1:3" ht="12.75" customHeight="1" x14ac:dyDescent="0.15">
      <c r="A474" s="58">
        <f>'HAULING RATES- ODOT Locations'!$D$140</f>
        <v>0</v>
      </c>
      <c r="B474" s="58" t="str">
        <f>'HAULING RATES- ODOT Locations'!$A$140&amp;"WCE-Slag"</f>
        <v>MercerWCE-Slag</v>
      </c>
      <c r="C474" s="58"/>
    </row>
    <row r="475" spans="1:3" ht="12.75" customHeight="1" x14ac:dyDescent="0.15">
      <c r="A475" s="58">
        <f>'HAULING RATES- ODOT Locations'!$D$141</f>
        <v>0</v>
      </c>
      <c r="B475" s="58" t="str">
        <f>'HAULING RATES- ODOT Locations'!$A$141&amp;"CEL-Slag"</f>
        <v>MercerCEL-Slag</v>
      </c>
      <c r="C475" s="58"/>
    </row>
    <row r="476" spans="1:3" ht="12.75" customHeight="1" x14ac:dyDescent="0.15">
      <c r="A476" s="58">
        <f>'HAULING RATES- ODOT Locations'!$D$142</f>
        <v>0</v>
      </c>
      <c r="B476" s="58" t="str">
        <f>'HAULING RATES- ODOT Locations'!$A$142&amp;"STH-Slag"</f>
        <v>MercerSTH-Slag</v>
      </c>
      <c r="C476" s="58"/>
    </row>
    <row r="477" spans="1:3" ht="12.75" customHeight="1" x14ac:dyDescent="0.15">
      <c r="A477" s="58">
        <f>'HAULING RATES- ODOT Locations'!$D$143</f>
        <v>0</v>
      </c>
      <c r="B477" s="58" t="str">
        <f>'HAULING RATES- ODOT Locations'!$A$143&amp;"TRO-Slag"</f>
        <v>MiamiTRO-Slag</v>
      </c>
      <c r="C477" s="58"/>
    </row>
    <row r="478" spans="1:3" ht="12.75" customHeight="1" x14ac:dyDescent="0.15">
      <c r="A478" s="58">
        <f>'HAULING RATES- ODOT Locations'!$D$144</f>
        <v>0</v>
      </c>
      <c r="B478" s="58" t="str">
        <f>'HAULING RATES- ODOT Locations'!$A$144&amp;"PIQ-Slag"</f>
        <v>MiamiPIQ-Slag</v>
      </c>
      <c r="C478" s="58"/>
    </row>
    <row r="479" spans="1:3" ht="12.75" customHeight="1" x14ac:dyDescent="0.15">
      <c r="A479" s="58">
        <f>'HAULING RATES- ODOT Locations'!$D$145</f>
        <v>0</v>
      </c>
      <c r="B479" s="58" t="str">
        <f>'HAULING RATES- ODOT Locations'!$A$145&amp;"ENG-Slag"</f>
        <v>MontgomeryENG-Slag</v>
      </c>
      <c r="C479" s="58"/>
    </row>
    <row r="480" spans="1:3" ht="12.75" customHeight="1" x14ac:dyDescent="0.15">
      <c r="A480" s="58">
        <f>'HAULING RATES- ODOT Locations'!$D$146</f>
        <v>0</v>
      </c>
      <c r="B480" s="58" t="str">
        <f>'HAULING RATES- ODOT Locations'!$A$146&amp;"MIA-Slag"</f>
        <v>MontgomeryMIA-Slag</v>
      </c>
      <c r="C480" s="58"/>
    </row>
    <row r="481" spans="1:3" ht="12.75" customHeight="1" x14ac:dyDescent="0.15">
      <c r="A481" s="58">
        <f>'HAULING RATES- ODOT Locations'!$D$147</f>
        <v>0</v>
      </c>
      <c r="B481" s="58" t="str">
        <f>'HAULING RATES- ODOT Locations'!$A$147&amp;"HHE-Slag"</f>
        <v>MontgomeryHHE-Slag</v>
      </c>
      <c r="C481" s="58"/>
    </row>
    <row r="482" spans="1:3" ht="12.75" customHeight="1" x14ac:dyDescent="0.15">
      <c r="A482" s="58">
        <f>'HAULING RATES- ODOT Locations'!$D$148</f>
        <v>0</v>
      </c>
      <c r="B482" s="58" t="str">
        <f>'HAULING RATES- ODOT Locations'!$A$148&amp;"SID-Slag"</f>
        <v>ShelbySID-Slag</v>
      </c>
      <c r="C482" s="58"/>
    </row>
    <row r="483" spans="1:3" ht="12.75" customHeight="1" x14ac:dyDescent="0.15">
      <c r="A483" s="58">
        <f>'HAULING RATES- ODOT Locations'!$D$150</f>
        <v>0</v>
      </c>
      <c r="B483" s="58" t="str">
        <f>'HAULING RATES- ODOT Locations'!$A$150&amp;"FTL-Slag"</f>
        <v>ShelbyFTL-Slag</v>
      </c>
      <c r="C483" s="58"/>
    </row>
    <row r="484" spans="1:3" ht="12.75" customHeight="1" x14ac:dyDescent="0.15">
      <c r="A484" s="58">
        <f>'HAULING RATES- ODOT Locations'!$D$154</f>
        <v>0</v>
      </c>
      <c r="B484" s="58" t="str">
        <f>'HAULING RATES- ODOT Locations'!$A$154&amp;"HAM-Slag"</f>
        <v>ButlerHAM-Slag</v>
      </c>
      <c r="C484" s="58"/>
    </row>
    <row r="485" spans="1:3" ht="12.75" customHeight="1" x14ac:dyDescent="0.15">
      <c r="A485" s="58">
        <f>'HAULING RATES- ODOT Locations'!$D$155</f>
        <v>0</v>
      </c>
      <c r="B485" s="58" t="str">
        <f>'HAULING RATES- ODOT Locations'!$A$155&amp;"MID-Slag"</f>
        <v>ButlerMID-Slag</v>
      </c>
      <c r="C485" s="58"/>
    </row>
    <row r="486" spans="1:3" ht="12.75" customHeight="1" x14ac:dyDescent="0.15">
      <c r="A486" s="58">
        <f>'HAULING RATES- ODOT Locations'!$D$156</f>
        <v>0</v>
      </c>
      <c r="B486" s="58" t="str">
        <f>'HAULING RATES- ODOT Locations'!$A$156&amp;"AME-Slag"</f>
        <v>ClermontAME-Slag</v>
      </c>
      <c r="C486" s="58"/>
    </row>
    <row r="487" spans="1:3" ht="12.75" customHeight="1" x14ac:dyDescent="0.15">
      <c r="A487" s="58">
        <f>'HAULING RATES- ODOT Locations'!$D$157</f>
        <v>0</v>
      </c>
      <c r="B487" s="58" t="str">
        <f>'HAULING RATES- ODOT Locations'!$A$157&amp;"MIL-Slag"</f>
        <v>ClermontMIL-Slag</v>
      </c>
      <c r="C487" s="58"/>
    </row>
    <row r="488" spans="1:3" ht="12.75" customHeight="1" x14ac:dyDescent="0.15">
      <c r="A488" s="58">
        <f>'HAULING RATES- ODOT Locations'!$D$158</f>
        <v>0</v>
      </c>
      <c r="B488" s="58" t="str">
        <f>'HAULING RATES- ODOT Locations'!$A$158&amp;"NER-Slag"</f>
        <v>ClermontNER-Slag</v>
      </c>
      <c r="C488" s="58"/>
    </row>
    <row r="489" spans="1:3" ht="12.75" customHeight="1" x14ac:dyDescent="0.15">
      <c r="A489" s="58">
        <f>'HAULING RATES- ODOT Locations'!$D$159</f>
        <v>0</v>
      </c>
      <c r="B489" s="58" t="str">
        <f>'HAULING RATES- ODOT Locations'!$A$159&amp;"WIL-Slag"</f>
        <v>ClintonWIL-Slag</v>
      </c>
      <c r="C489" s="58"/>
    </row>
    <row r="490" spans="1:3" ht="12.75" customHeight="1" x14ac:dyDescent="0.15">
      <c r="A490" s="58">
        <f>'HAULING RATES- ODOT Locations'!$D$160</f>
        <v>0</v>
      </c>
      <c r="B490" s="58" t="str">
        <f>'HAULING RATES- ODOT Locations'!$A$160&amp;"NWI-Slag"</f>
        <v>ClintonNWI-Slag</v>
      </c>
      <c r="C490" s="58"/>
    </row>
    <row r="491" spans="1:3" ht="12.75" customHeight="1" x14ac:dyDescent="0.15">
      <c r="A491" s="58">
        <f>'HAULING RATES- ODOT Locations'!$D$161</f>
        <v>0</v>
      </c>
      <c r="B491" s="58" t="str">
        <f>'HAULING RATES- ODOT Locations'!$A$161&amp;"-Slag"</f>
        <v>Greene-Slag</v>
      </c>
      <c r="C491" s="58"/>
    </row>
    <row r="492" spans="1:3" ht="12.75" customHeight="1" x14ac:dyDescent="0.15">
      <c r="A492" s="58">
        <f>'HAULING RATES- ODOT Locations'!$D$162</f>
        <v>0</v>
      </c>
      <c r="B492" s="58" t="str">
        <f>'HAULING RATES- ODOT Locations'!$A$162&amp;"BLA-Slag"</f>
        <v>HamiltonBLA-Slag</v>
      </c>
      <c r="C492" s="58"/>
    </row>
    <row r="493" spans="1:3" ht="12.75" customHeight="1" x14ac:dyDescent="0.15">
      <c r="A493" s="58">
        <f>'HAULING RATES- ODOT Locations'!$D$163</f>
        <v>0</v>
      </c>
      <c r="B493" s="58" t="str">
        <f>'HAULING RATES- ODOT Locations'!$A$163&amp;"CIN-Slag"</f>
        <v>HamiltonCIN-Slag</v>
      </c>
      <c r="C493" s="58"/>
    </row>
    <row r="494" spans="1:3" ht="12.75" customHeight="1" x14ac:dyDescent="0.15">
      <c r="A494" s="58">
        <f>'HAULING RATES- ODOT Locations'!$D$164</f>
        <v>0</v>
      </c>
      <c r="B494" s="58" t="str">
        <f>'HAULING RATES- ODOT Locations'!$A$164&amp;"MIA-Slag"</f>
        <v>HamiltonMIA-Slag</v>
      </c>
      <c r="C494" s="58"/>
    </row>
    <row r="495" spans="1:3" ht="12.75" customHeight="1" x14ac:dyDescent="0.15">
      <c r="A495" s="58">
        <f>'HAULING RATES- ODOT Locations'!$D$165</f>
        <v>0</v>
      </c>
      <c r="B495" s="58" t="str">
        <f>'HAULING RATES- ODOT Locations'!$A$165&amp;"SHA-Slag"</f>
        <v>HamiltonSHA-Slag</v>
      </c>
      <c r="C495" s="58"/>
    </row>
    <row r="496" spans="1:3" ht="12.75" customHeight="1" x14ac:dyDescent="0.15">
      <c r="A496" s="58" t="e">
        <f>'HAULING RATES- ODOT Locations'!#REF!</f>
        <v>#REF!</v>
      </c>
      <c r="B496" s="58" t="e">
        <f>'HAULING RATES- ODOT Locations'!#REF!&amp;"-Slag"</f>
        <v>#REF!</v>
      </c>
      <c r="C496" s="58"/>
    </row>
    <row r="497" spans="1:3" ht="12.75" customHeight="1" x14ac:dyDescent="0.15">
      <c r="A497" s="58">
        <f>'HAULING RATES- ODOT Locations'!$D$166</f>
        <v>0</v>
      </c>
      <c r="B497" s="58" t="str">
        <f>'HAULING RATES- ODOT Locations'!$A$166&amp;"NEA-Slag"</f>
        <v>PrebleNEA-Slag</v>
      </c>
      <c r="C497" s="58"/>
    </row>
    <row r="498" spans="1:3" ht="12.75" customHeight="1" x14ac:dyDescent="0.15">
      <c r="A498" s="58" t="e">
        <f>'HAULING RATES- ODOT Locations'!#REF!</f>
        <v>#REF!</v>
      </c>
      <c r="B498" s="58" t="e">
        <f>'HAULING RATES- ODOT Locations'!#REF!&amp;"CAM-Slag"</f>
        <v>#REF!</v>
      </c>
      <c r="C498" s="58"/>
    </row>
    <row r="499" spans="1:3" ht="12.75" customHeight="1" x14ac:dyDescent="0.15">
      <c r="A499" s="58">
        <f>'HAULING RATES- ODOT Locations'!$D$168</f>
        <v>0</v>
      </c>
      <c r="B499" s="58" t="str">
        <f>'HAULING RATES- ODOT Locations'!$A$168&amp;"EAL-Slag"</f>
        <v>PrebleEAL-Slag</v>
      </c>
      <c r="C499" s="58"/>
    </row>
    <row r="500" spans="1:3" ht="12.75" customHeight="1" x14ac:dyDescent="0.15">
      <c r="A500" s="58">
        <f>'HAULING RATES- ODOT Locations'!$D$169</f>
        <v>0</v>
      </c>
      <c r="B500" s="58" t="str">
        <f>'HAULING RATES- ODOT Locations'!$A$169&amp;"MON-Slag"</f>
        <v>WarrenMON-Slag</v>
      </c>
      <c r="C500" s="58"/>
    </row>
    <row r="501" spans="1:3" ht="12.75" customHeight="1" x14ac:dyDescent="0.15">
      <c r="A501" s="58">
        <f>'HAULING RATES- ODOT Locations'!$D$170</f>
        <v>0</v>
      </c>
      <c r="B501" s="58" t="str">
        <f>'HAULING RATES- ODOT Locations'!$A$170&amp;"LEB-Slag"</f>
        <v>WarrenLEB-Slag</v>
      </c>
      <c r="C501" s="58"/>
    </row>
    <row r="502" spans="1:3" ht="12.75" customHeight="1" x14ac:dyDescent="0.15">
      <c r="A502" s="58">
        <f>'HAULING RATES- ODOT Locations'!$D$174</f>
        <v>0</v>
      </c>
      <c r="B502" s="58" t="str">
        <f>'HAULING RATES- ODOT Locations'!$A$174&amp;"PEE-Slag"</f>
        <v>AdamsPEE-Slag</v>
      </c>
      <c r="C502" s="58"/>
    </row>
    <row r="503" spans="1:3" ht="12.75" customHeight="1" x14ac:dyDescent="0.15">
      <c r="A503" s="58" t="e">
        <f>'HAULING RATES- ODOT Locations'!#REF!</f>
        <v>#REF!</v>
      </c>
      <c r="B503" s="58" t="e">
        <f>'HAULING RATES- ODOT Locations'!#REF!&amp;"WUN-Slag"</f>
        <v>#REF!</v>
      </c>
      <c r="C503" s="58"/>
    </row>
    <row r="504" spans="1:3" ht="12.75" customHeight="1" x14ac:dyDescent="0.15">
      <c r="A504" s="58">
        <f>'HAULING RATES- ODOT Locations'!$D$176</f>
        <v>0</v>
      </c>
      <c r="B504" s="58" t="str">
        <f>'HAULING RATES- ODOT Locations'!$A$176&amp;"GEO-Slag"</f>
        <v>BrownGEO-Slag</v>
      </c>
      <c r="C504" s="58"/>
    </row>
    <row r="505" spans="1:3" ht="12.75" customHeight="1" x14ac:dyDescent="0.15">
      <c r="A505" s="58">
        <f>'HAULING RATES- ODOT Locations'!$D$177</f>
        <v>0</v>
      </c>
      <c r="B505" s="58" t="str">
        <f>'HAULING RATES- ODOT Locations'!$A$177&amp;"MTO-Slag"</f>
        <v>BrownMTO-Slag</v>
      </c>
      <c r="C505" s="58"/>
    </row>
    <row r="506" spans="1:3" ht="12.75" customHeight="1" x14ac:dyDescent="0.15">
      <c r="A506" s="58">
        <f>'HAULING RATES- ODOT Locations'!$D$178</f>
        <v>0</v>
      </c>
      <c r="B506" s="58" t="str">
        <f>'HAULING RATES- ODOT Locations'!$A$178&amp;"-Slag"</f>
        <v>Highland-Slag</v>
      </c>
      <c r="C506" s="58"/>
    </row>
    <row r="507" spans="1:3" ht="12.75" customHeight="1" x14ac:dyDescent="0.15">
      <c r="A507" s="58">
        <f>'HAULING RATES- ODOT Locations'!$D$179</f>
        <v>0</v>
      </c>
      <c r="B507" s="58" t="str">
        <f>'HAULING RATES- ODOT Locations'!$A$179&amp;"-Slag"</f>
        <v>Jackson-Slag</v>
      </c>
      <c r="C507" s="58"/>
    </row>
    <row r="508" spans="1:3" ht="12.75" customHeight="1" x14ac:dyDescent="0.15">
      <c r="A508" s="58">
        <f>'HAULING RATES- ODOT Locations'!$D$181</f>
        <v>0</v>
      </c>
      <c r="B508" s="58" t="str">
        <f>'HAULING RATES- ODOT Locations'!$A$181&amp;"IRO-Slag"</f>
        <v>LawrenceIRO-Slag</v>
      </c>
      <c r="C508" s="58"/>
    </row>
    <row r="509" spans="1:3" ht="12.75" customHeight="1" x14ac:dyDescent="0.15">
      <c r="A509" s="58">
        <f>'HAULING RATES- ODOT Locations'!$D$182</f>
        <v>0</v>
      </c>
      <c r="B509" s="58" t="str">
        <f>'HAULING RATES- ODOT Locations'!$A$182&amp;"PRO-Slag"</f>
        <v>LawrencePRO-Slag</v>
      </c>
      <c r="C509" s="58"/>
    </row>
    <row r="510" spans="1:3" ht="12.75" customHeight="1" x14ac:dyDescent="0.15">
      <c r="A510" s="58" t="e">
        <f>'HAULING RATES- ODOT Locations'!#REF!</f>
        <v>#REF!</v>
      </c>
      <c r="B510" s="58" t="e">
        <f>'HAULING RATES- ODOT Locations'!#REF!&amp;"WIL-Slag"</f>
        <v>#REF!</v>
      </c>
      <c r="C510" s="58"/>
    </row>
    <row r="511" spans="1:3" ht="12.75" customHeight="1" x14ac:dyDescent="0.15">
      <c r="A511" s="58" t="e">
        <f>'HAULING RATES- ODOT Locations'!#REF!</f>
        <v>#REF!</v>
      </c>
      <c r="B511" s="58" t="e">
        <f>'HAULING RATES- ODOT Locations'!#REF!&amp;"-Slag"</f>
        <v>#REF!</v>
      </c>
      <c r="C511" s="58"/>
    </row>
    <row r="512" spans="1:3" ht="12.75" customHeight="1" x14ac:dyDescent="0.15">
      <c r="A512" s="58">
        <f>'HAULING RATES- ODOT Locations'!$D$185</f>
        <v>0</v>
      </c>
      <c r="B512" s="58" t="str">
        <f>'HAULING RATES- ODOT Locations'!$A$185&amp;"-Slag"</f>
        <v>Ross-Slag</v>
      </c>
      <c r="C512" s="58"/>
    </row>
    <row r="513" spans="1:3" ht="12.75" customHeight="1" x14ac:dyDescent="0.15">
      <c r="A513" s="58">
        <f>'HAULING RATES- ODOT Locations'!$D$186</f>
        <v>0</v>
      </c>
      <c r="B513" s="58" t="str">
        <f>'HAULING RATES- ODOT Locations'!$A$186&amp;"LUC-Slag"</f>
        <v>SciotoLUC-Slag</v>
      </c>
      <c r="C513" s="58"/>
    </row>
    <row r="514" spans="1:3" ht="12.75" customHeight="1" x14ac:dyDescent="0.15">
      <c r="A514" s="58">
        <f>'HAULING RATES- ODOT Locations'!$D$187</f>
        <v>0</v>
      </c>
      <c r="B514" s="58" t="str">
        <f>'HAULING RATES- ODOT Locations'!$A$187&amp;"WHE-Slag"</f>
        <v>SciotoWHE-Slag</v>
      </c>
      <c r="C514" s="58"/>
    </row>
    <row r="515" spans="1:3" ht="12.75" customHeight="1" x14ac:dyDescent="0.15">
      <c r="A515" s="58">
        <f>'HAULING RATES- ODOT Locations'!$D$191</f>
        <v>0</v>
      </c>
      <c r="B515" s="58" t="str">
        <f>'HAULING RATES- ODOT Locations'!$A$191&amp;"ATH-Slag"</f>
        <v>AthensATH-Slag</v>
      </c>
      <c r="C515" s="58"/>
    </row>
    <row r="516" spans="1:3" ht="12.75" customHeight="1" x14ac:dyDescent="0.15">
      <c r="A516" s="58" t="e">
        <f>'HAULING RATES- ODOT Locations'!#REF!</f>
        <v>#REF!</v>
      </c>
      <c r="B516" s="58" t="e">
        <f>'HAULING RATES- ODOT Locations'!#REF!&amp;"GLO-Slag"</f>
        <v>#REF!</v>
      </c>
      <c r="C516" s="58"/>
    </row>
    <row r="517" spans="1:3" ht="12.75" customHeight="1" x14ac:dyDescent="0.15">
      <c r="A517" s="58">
        <f>'HAULING RATES- ODOT Locations'!$D$193</f>
        <v>0</v>
      </c>
      <c r="B517" s="58" t="str">
        <f>'HAULING RATES- ODOT Locations'!$A$193&amp;"COO-Slag"</f>
        <v>GalliaCOO-Slag</v>
      </c>
      <c r="C517" s="58"/>
    </row>
    <row r="518" spans="1:3" ht="12.75" customHeight="1" x14ac:dyDescent="0.15">
      <c r="A518" s="58">
        <f>'HAULING RATES- ODOT Locations'!$D$194</f>
        <v>0</v>
      </c>
      <c r="B518" s="58" t="str">
        <f>'HAULING RATES- ODOT Locations'!$A$194&amp;"-Slag"</f>
        <v>Hocking-Slag</v>
      </c>
      <c r="C518" s="58"/>
    </row>
    <row r="519" spans="1:3" ht="12.75" customHeight="1" x14ac:dyDescent="0.15">
      <c r="A519" s="58">
        <f>'HAULING RATES- ODOT Locations'!$D$195</f>
        <v>0</v>
      </c>
      <c r="B519" s="58" t="str">
        <f>'HAULING RATES- ODOT Locations'!$A$195&amp;"LOG-Slag"</f>
        <v>HockingLOG-Slag</v>
      </c>
      <c r="C519" s="58"/>
    </row>
    <row r="520" spans="1:3" ht="12.75" customHeight="1" x14ac:dyDescent="0.15">
      <c r="A520" s="58">
        <f>'HAULING RATES- ODOT Locations'!$D$196</f>
        <v>0</v>
      </c>
      <c r="B520" s="58" t="str">
        <f>'HAULING RATES- ODOT Locations'!$A$196&amp;"LAU-Slag"</f>
        <v>MeigsLAU-Slag</v>
      </c>
      <c r="C520" s="58"/>
    </row>
    <row r="521" spans="1:3" ht="12.75" customHeight="1" x14ac:dyDescent="0.15">
      <c r="A521" s="58">
        <f>'HAULING RATES- ODOT Locations'!$D$197</f>
        <v>0</v>
      </c>
      <c r="B521" s="58" t="str">
        <f>'HAULING RATES- ODOT Locations'!$A$197&amp;"-Slag"</f>
        <v>Meigs-Slag</v>
      </c>
      <c r="C521" s="58"/>
    </row>
    <row r="522" spans="1:3" ht="12.75" customHeight="1" x14ac:dyDescent="0.15">
      <c r="A522" s="58">
        <f>'HAULING RATES- ODOT Locations'!$D$199</f>
        <v>0</v>
      </c>
      <c r="B522" s="58" t="str">
        <f>'HAULING RATES- ODOT Locations'!$A$199&amp;"WOO-Slag"</f>
        <v>MonroeWOO-Slag</v>
      </c>
      <c r="C522" s="58"/>
    </row>
    <row r="523" spans="1:3" ht="12.75" customHeight="1" x14ac:dyDescent="0.15">
      <c r="A523" s="58" t="e">
        <f>'HAULING RATES- ODOT Locations'!#REF!</f>
        <v>#REF!</v>
      </c>
      <c r="B523" s="58" t="e">
        <f>'HAULING RATES- ODOT Locations'!#REF!&amp;"HAN-Slag"</f>
        <v>#REF!</v>
      </c>
      <c r="C523" s="58"/>
    </row>
    <row r="524" spans="1:3" ht="12.75" customHeight="1" x14ac:dyDescent="0.15">
      <c r="A524" s="58">
        <f>'HAULING RATES- ODOT Locations'!$D$200</f>
        <v>0</v>
      </c>
      <c r="B524" s="58" t="str">
        <f>'HAULING RATES- ODOT Locations'!$A$200&amp;"MCC-Slag"</f>
        <v>MorganMCC-Slag</v>
      </c>
      <c r="C524" s="58"/>
    </row>
    <row r="525" spans="1:3" ht="12.75" customHeight="1" x14ac:dyDescent="0.15">
      <c r="A525" s="58" t="e">
        <f>'HAULING RATES- ODOT Locations'!#REF!</f>
        <v>#REF!</v>
      </c>
      <c r="B525" s="58" t="e">
        <f>'HAULING RATES- ODOT Locations'!#REF!&amp;"CAL-Slag"</f>
        <v>#REF!</v>
      </c>
      <c r="C525" s="58"/>
    </row>
    <row r="526" spans="1:3" ht="12.75" customHeight="1" x14ac:dyDescent="0.15">
      <c r="A526" s="58" t="e">
        <f>'HAULING RATES- ODOT Locations'!#REF!</f>
        <v>#REF!</v>
      </c>
      <c r="B526" s="58" t="e">
        <f>'HAULING RATES- ODOT Locations'!#REF!&amp;"BVA-Slag"</f>
        <v>#REF!</v>
      </c>
      <c r="C526" s="58"/>
    </row>
    <row r="527" spans="1:3" ht="12.75" customHeight="1" x14ac:dyDescent="0.15">
      <c r="A527" s="58">
        <f>'HAULING RATES- ODOT Locations'!$D$203</f>
        <v>0</v>
      </c>
      <c r="B527" s="58" t="str">
        <f>'HAULING RATES- ODOT Locations'!$A$203&amp;"HAM-Slag"</f>
        <v>VintonHAM-Slag</v>
      </c>
      <c r="C527" s="58"/>
    </row>
    <row r="528" spans="1:3" ht="12.75" customHeight="1" x14ac:dyDescent="0.15">
      <c r="A528" s="58" t="e">
        <f>'HAULING RATES- ODOT Locations'!#REF!</f>
        <v>#REF!</v>
      </c>
      <c r="B528" s="58" t="e">
        <f>'HAULING RATES- ODOT Locations'!#REF!&amp;"WIL-Slag"</f>
        <v>#REF!</v>
      </c>
      <c r="C528" s="58"/>
    </row>
    <row r="529" spans="1:3" ht="12.75" customHeight="1" x14ac:dyDescent="0.15">
      <c r="A529" s="58">
        <f>'HAULING RATES- ODOT Locations'!$D$205</f>
        <v>0</v>
      </c>
      <c r="B529" s="58" t="str">
        <f>'HAULING RATES- ODOT Locations'!$A$205&amp;"MAR-Slag"</f>
        <v>WashingtonMAR-Slag</v>
      </c>
      <c r="C529" s="58"/>
    </row>
    <row r="530" spans="1:3" ht="12.75" customHeight="1" x14ac:dyDescent="0.15">
      <c r="A530" s="58">
        <f>'HAULING RATES- ODOT Locations'!$D$206</f>
        <v>0</v>
      </c>
      <c r="B530" s="58" t="str">
        <f>'HAULING RATES- ODOT Locations'!$A$206&amp;"BAR-Slag"</f>
        <v>WashingtonBAR-Slag</v>
      </c>
      <c r="C530" s="58"/>
    </row>
    <row r="531" spans="1:3" ht="12.75" customHeight="1" x14ac:dyDescent="0.15">
      <c r="A531" s="58">
        <f>'HAULING RATES- ODOT Locations'!$D$207</f>
        <v>0</v>
      </c>
      <c r="B531" s="58" t="str">
        <f>'HAULING RATES- ODOT Locations'!$A$207&amp;"BEL-Slag"</f>
        <v>WashingtonBEL-Slag</v>
      </c>
      <c r="C531" s="58"/>
    </row>
    <row r="532" spans="1:3" ht="12.75" customHeight="1" x14ac:dyDescent="0.15">
      <c r="A532" s="58" t="e">
        <f>'HAULING RATES- ODOT Locations'!#REF!</f>
        <v>#REF!</v>
      </c>
      <c r="B532" s="58" t="e">
        <f>'HAULING RATES- ODOT Locations'!#REF!&amp;"MAC-Slag"</f>
        <v>#REF!</v>
      </c>
      <c r="C532" s="58"/>
    </row>
    <row r="533" spans="1:3" ht="12.75" customHeight="1" x14ac:dyDescent="0.15">
      <c r="A533" s="58">
        <f>'HAULING RATES- ODOT Locations'!$D$212</f>
        <v>0</v>
      </c>
      <c r="B533" s="58" t="str">
        <f>'HAULING RATES- ODOT Locations'!$A$212&amp;"BEL-Slag"</f>
        <v>BelmontBEL-Slag</v>
      </c>
      <c r="C533" s="58"/>
    </row>
    <row r="534" spans="1:3" ht="12.75" customHeight="1" x14ac:dyDescent="0.15">
      <c r="A534" s="58">
        <f>'HAULING RATES- ODOT Locations'!$D$213</f>
        <v>0</v>
      </c>
      <c r="B534" s="58" t="str">
        <f>'HAULING RATES- ODOT Locations'!$A$213&amp;"STC-Slag"</f>
        <v>BelmontSTC-Slag</v>
      </c>
      <c r="C534" s="58"/>
    </row>
    <row r="535" spans="1:3" ht="12.75" customHeight="1" x14ac:dyDescent="0.15">
      <c r="A535" s="58">
        <f>'HAULING RATES- ODOT Locations'!$D$214</f>
        <v>0</v>
      </c>
      <c r="B535" s="58" t="str">
        <f>'HAULING RATES- ODOT Locations'!$A$214&amp;"BAR-Slag"</f>
        <v>BelmontBAR-Slag</v>
      </c>
      <c r="C535" s="58"/>
    </row>
    <row r="536" spans="1:3" ht="12.75" customHeight="1" x14ac:dyDescent="0.15">
      <c r="A536" s="58">
        <f>'HAULING RATES- ODOT Locations'!$D$215</f>
        <v>0</v>
      </c>
      <c r="B536" s="58" t="str">
        <f>'HAULING RATES- ODOT Locations'!$A$215&amp;"SHD-Slag"</f>
        <v>BelmontSHD-Slag</v>
      </c>
      <c r="C536" s="58"/>
    </row>
    <row r="537" spans="1:3" ht="12.75" customHeight="1" x14ac:dyDescent="0.15">
      <c r="A537" s="58">
        <f>'HAULING RATES- ODOT Locations'!$D$216</f>
        <v>0</v>
      </c>
      <c r="B537" s="58" t="str">
        <f>'HAULING RATES- ODOT Locations'!$A$216&amp;"-Slag"</f>
        <v>Carroll-Slag</v>
      </c>
      <c r="C537" s="58"/>
    </row>
    <row r="538" spans="1:3" ht="12.75" customHeight="1" x14ac:dyDescent="0.15">
      <c r="A538" s="58">
        <f>'HAULING RATES- ODOT Locations'!$D$217</f>
        <v>0</v>
      </c>
      <c r="B538" s="58" t="str">
        <f>'HAULING RATES- ODOT Locations'!$A$217&amp;"LIS-Slag"</f>
        <v>ColumbianaLIS-Slag</v>
      </c>
      <c r="C538" s="58"/>
    </row>
    <row r="539" spans="1:3" ht="12.75" customHeight="1" x14ac:dyDescent="0.15">
      <c r="A539" s="58">
        <f>'HAULING RATES- ODOT Locations'!$D$218</f>
        <v>0</v>
      </c>
      <c r="B539" s="58" t="str">
        <f>'HAULING RATES- ODOT Locations'!$A$218&amp;"ELI-Slag"</f>
        <v>ColumbianaELI-Slag</v>
      </c>
      <c r="C539" s="58"/>
    </row>
    <row r="540" spans="1:3" ht="12.75" customHeight="1" x14ac:dyDescent="0.15">
      <c r="A540" s="58">
        <f>'HAULING RATES- ODOT Locations'!$D$219</f>
        <v>0</v>
      </c>
      <c r="B540" s="58" t="str">
        <f>'HAULING RATES- ODOT Locations'!$A$219&amp;"EPA-Slag"</f>
        <v>ColumbianaEPA-Slag</v>
      </c>
      <c r="C540" s="58"/>
    </row>
    <row r="541" spans="1:3" ht="12.75" customHeight="1" x14ac:dyDescent="0.15">
      <c r="A541" s="58">
        <f>'HAULING RATES- ODOT Locations'!$D$220</f>
        <v>0</v>
      </c>
      <c r="B541" s="58" t="str">
        <f>'HAULING RATES- ODOT Locations'!$A$220&amp;"CAD-Slag"</f>
        <v>HarrisonCAD-Slag</v>
      </c>
      <c r="C541" s="58"/>
    </row>
    <row r="542" spans="1:3" ht="12.75" customHeight="1" x14ac:dyDescent="0.15">
      <c r="A542" s="58">
        <f>'HAULING RATES- ODOT Locations'!$D$222</f>
        <v>0</v>
      </c>
      <c r="B542" s="58" t="str">
        <f>'HAULING RATES- ODOT Locations'!$A$222&amp;"FRE-Slag"</f>
        <v>HarrisonFRE-Slag</v>
      </c>
      <c r="C542" s="58"/>
    </row>
    <row r="543" spans="1:3" ht="12.75" customHeight="1" x14ac:dyDescent="0.15">
      <c r="A543" s="58" t="e">
        <f>'HAULING RATES- ODOT Locations'!#REF!</f>
        <v>#REF!</v>
      </c>
      <c r="B543" s="58" t="e">
        <f>'HAULING RATES- ODOT Locations'!#REF!&amp;"MIL-Slag"</f>
        <v>#REF!</v>
      </c>
      <c r="C543" s="58"/>
    </row>
    <row r="544" spans="1:3" ht="12.75" customHeight="1" x14ac:dyDescent="0.15">
      <c r="A544" s="58">
        <f>'HAULING RATES- ODOT Locations'!$D$224</f>
        <v>0</v>
      </c>
      <c r="B544" s="58" t="str">
        <f>'HAULING RATES- ODOT Locations'!$A$224&amp;"NAS-Slag"</f>
        <v>HolmesNAS-Slag</v>
      </c>
      <c r="C544" s="58"/>
    </row>
    <row r="545" spans="1:3" ht="12.75" customHeight="1" x14ac:dyDescent="0.15">
      <c r="A545" s="58" t="e">
        <f>'HAULING RATES- ODOT Locations'!#REF!</f>
        <v>#REF!</v>
      </c>
      <c r="B545" s="58" t="e">
        <f>'HAULING RATES- ODOT Locations'!#REF!&amp;"WIN-Slag"</f>
        <v>#REF!</v>
      </c>
      <c r="C545" s="58"/>
    </row>
    <row r="546" spans="1:3" ht="12.75" customHeight="1" x14ac:dyDescent="0.15">
      <c r="A546" s="58" t="e">
        <f>'HAULING RATES- ODOT Locations'!#REF!</f>
        <v>#REF!</v>
      </c>
      <c r="B546" s="58" t="e">
        <f>'HAULING RATES- ODOT Locations'!#REF!&amp;"STE-Slag"</f>
        <v>#REF!</v>
      </c>
      <c r="C546" s="58"/>
    </row>
    <row r="547" spans="1:3" ht="12.75" customHeight="1" x14ac:dyDescent="0.15">
      <c r="A547" s="58" t="e">
        <f>'HAULING RATES- ODOT Locations'!#REF!</f>
        <v>#REF!</v>
      </c>
      <c r="B547" s="58" t="e">
        <f>'HAULING RATES- ODOT Locations'!#REF!&amp;"DIL-Slag"</f>
        <v>#REF!</v>
      </c>
      <c r="C547" s="58"/>
    </row>
    <row r="548" spans="1:3" ht="12.75" customHeight="1" x14ac:dyDescent="0.15">
      <c r="A548" s="58" t="e">
        <f>'HAULING RATES- ODOT Locations'!#REF!</f>
        <v>#REF!</v>
      </c>
      <c r="B548" s="58" t="e">
        <f>'HAULING RATES- ODOT Locations'!#REF!&amp;"BER-Slag"</f>
        <v>#REF!</v>
      </c>
      <c r="C548" s="58"/>
    </row>
    <row r="549" spans="1:3" ht="12.75" customHeight="1" x14ac:dyDescent="0.15">
      <c r="A549" s="58">
        <f>'HAULING RATES- ODOT Locations'!$D$229</f>
        <v>0</v>
      </c>
      <c r="B549" s="58" t="str">
        <f>'HAULING RATES- ODOT Locations'!$A$229&amp;"NPH-Slag"</f>
        <v>TuscarawasNPH-Slag</v>
      </c>
      <c r="C549" s="58"/>
    </row>
    <row r="550" spans="1:3" ht="12.75" customHeight="1" x14ac:dyDescent="0.15">
      <c r="A550" s="58" t="e">
        <f>'HAULING RATES- ODOT Locations'!#REF!</f>
        <v>#REF!</v>
      </c>
      <c r="B550" s="58" t="e">
        <f>'HAULING RATES- ODOT Locations'!#REF!&amp;"BOL-Slag"</f>
        <v>#REF!</v>
      </c>
      <c r="C550" s="58"/>
    </row>
    <row r="551" spans="1:3" ht="12.75" customHeight="1" x14ac:dyDescent="0.15">
      <c r="A551" s="58">
        <f>'HAULING RATES- ODOT Locations'!$D$231</f>
        <v>0</v>
      </c>
      <c r="B551" s="58" t="str">
        <f>'HAULING RATES- ODOT Locations'!$A$231&amp;"NEW-Slag"</f>
        <v>TuscarawasNEW-Slag</v>
      </c>
      <c r="C551" s="58"/>
    </row>
    <row r="552" spans="1:3" ht="12.75" customHeight="1" x14ac:dyDescent="0.15">
      <c r="A552" s="58">
        <f>'HAULING RATES- ODOT Locations'!$D$232</f>
        <v>0</v>
      </c>
      <c r="B552" s="58" t="str">
        <f>'HAULING RATES- ODOT Locations'!$A$232&amp;"DEN-Slag"</f>
        <v>TuscarawasDEN-Slag</v>
      </c>
      <c r="C552" s="58"/>
    </row>
    <row r="553" spans="1:3" ht="12.75" customHeight="1" x14ac:dyDescent="0.15">
      <c r="A553" s="58">
        <f>'HAULING RATES- ODOT Locations'!$D$236</f>
        <v>0</v>
      </c>
      <c r="B553" s="58" t="str">
        <f>'HAULING RATES- ODOT Locations'!$A$236&amp;"CLE-Slag"</f>
        <v>CuyahogaCLE-Slag</v>
      </c>
      <c r="C553" s="58"/>
    </row>
    <row r="554" spans="1:3" ht="12.75" customHeight="1" x14ac:dyDescent="0.15">
      <c r="A554" s="58">
        <f>'HAULING RATES- ODOT Locations'!$D$237</f>
        <v>0</v>
      </c>
      <c r="B554" s="58" t="str">
        <f>'HAULING RATES- ODOT Locations'!$A$237&amp;"IND-Slag"</f>
        <v>CuyahogaIND-Slag</v>
      </c>
      <c r="C554" s="58"/>
    </row>
    <row r="555" spans="1:3" ht="12.75" customHeight="1" x14ac:dyDescent="0.15">
      <c r="A555" s="58" t="e">
        <f>'HAULING RATES- ODOT Locations'!#REF!</f>
        <v>#REF!</v>
      </c>
      <c r="B555" s="58" t="e">
        <f>'HAULING RATES- ODOT Locations'!#REF!&amp;"MAV-Slag"</f>
        <v>#REF!</v>
      </c>
      <c r="C555" s="58"/>
    </row>
    <row r="556" spans="1:3" ht="12.75" customHeight="1" x14ac:dyDescent="0.15">
      <c r="A556" s="58">
        <f>'HAULING RATES- ODOT Locations'!$D$240</f>
        <v>0</v>
      </c>
      <c r="B556" s="58" t="str">
        <f>'HAULING RATES- ODOT Locations'!$A$240&amp;"GRC-Slag"</f>
        <v>CuyahogaGRC-Slag</v>
      </c>
      <c r="C556" s="58"/>
    </row>
    <row r="557" spans="1:3" ht="12.75" customHeight="1" x14ac:dyDescent="0.15">
      <c r="A557" s="58">
        <f>'HAULING RATES- ODOT Locations'!$D$242</f>
        <v>0</v>
      </c>
      <c r="B557" s="58" t="str">
        <f>'HAULING RATES- ODOT Locations'!$A$242&amp;"WAR-Slag"</f>
        <v>CuyahogaWAR-Slag</v>
      </c>
      <c r="C557" s="58"/>
    </row>
    <row r="558" spans="1:3" ht="12.75" customHeight="1" x14ac:dyDescent="0.15">
      <c r="A558" s="58">
        <f>'HAULING RATES- ODOT Locations'!$D$243</f>
        <v>0</v>
      </c>
      <c r="B558" s="58" t="str">
        <f>'HAULING RATES- ODOT Locations'!$A$243&amp;"BUR-Slag"</f>
        <v>GeaugaBUR-Slag</v>
      </c>
      <c r="C558" s="58"/>
    </row>
    <row r="559" spans="1:3" ht="12.75" customHeight="1" x14ac:dyDescent="0.15">
      <c r="A559" s="58">
        <f>'HAULING RATES- ODOT Locations'!$D$244</f>
        <v>0</v>
      </c>
      <c r="B559" s="58" t="str">
        <f>'HAULING RATES- ODOT Locations'!$A$244&amp;"MTW-Slag"</f>
        <v>GeaugaMTW-Slag</v>
      </c>
      <c r="C559" s="58"/>
    </row>
    <row r="560" spans="1:3" ht="12.75" customHeight="1" x14ac:dyDescent="0.15">
      <c r="A560" s="58">
        <f>'HAULING RATES- ODOT Locations'!$D$245</f>
        <v>0</v>
      </c>
      <c r="B560" s="58" t="str">
        <f>'HAULING RATES- ODOT Locations'!$A$245&amp;"MUN-Slag"</f>
        <v>GeaugaMUN-Slag</v>
      </c>
      <c r="C560" s="58"/>
    </row>
    <row r="561" spans="1:6" ht="12.75" customHeight="1" x14ac:dyDescent="0.15">
      <c r="A561" s="58">
        <f>'HAULING RATES- ODOT Locations'!$D$246</f>
        <v>0</v>
      </c>
      <c r="B561" s="58" t="str">
        <f>'HAULING RATES- ODOT Locations'!$A$246&amp;"PAR-Slag"</f>
        <v>GeaugaPAR-Slag</v>
      </c>
      <c r="C561" s="58"/>
    </row>
    <row r="562" spans="1:6" ht="12.75" customHeight="1" x14ac:dyDescent="0.15">
      <c r="A562" s="58">
        <f>'HAULING RATES- ODOT Locations'!$D$247</f>
        <v>0</v>
      </c>
      <c r="B562" s="58" t="str">
        <f>'HAULING RATES- ODOT Locations'!$A$247&amp;"PAI-Slag"</f>
        <v>LakePAI-Slag</v>
      </c>
      <c r="C562" s="58"/>
    </row>
    <row r="563" spans="1:6" ht="12.75" customHeight="1" x14ac:dyDescent="0.15">
      <c r="A563" s="58">
        <f>'HAULING RATES- ODOT Locations'!$D$248</f>
        <v>0</v>
      </c>
      <c r="B563" s="58" t="str">
        <f>'HAULING RATES- ODOT Locations'!$A$248&amp;"MAD-Slag"</f>
        <v>LakeMAD-Slag</v>
      </c>
      <c r="C563" s="58"/>
    </row>
    <row r="564" spans="1:6" ht="12.75" customHeight="1" x14ac:dyDescent="0.15">
      <c r="A564" s="60">
        <f>'HAULING RATES- ODOT Locations'!$D$250</f>
        <v>0</v>
      </c>
      <c r="B564" s="60" t="str">
        <f>'HAULING RATES- ODOT Locations'!$A$250&amp;"LER-Slag"</f>
        <v>LakeLER-Slag</v>
      </c>
      <c r="C564" s="60"/>
      <c r="D564" s="59"/>
      <c r="E564" s="59"/>
      <c r="F564" s="59"/>
    </row>
    <row r="565" spans="1:6" ht="12.75" customHeight="1" x14ac:dyDescent="0.15">
      <c r="A565" s="58" t="e">
        <f>'HAULING RATES- ODOT Locations'!#REF!</f>
        <v>#REF!</v>
      </c>
      <c r="B565" s="58" t="e">
        <f>'HAULING RATES- ODOT Locations'!#REF!&amp;"-Gravel"</f>
        <v>#REF!</v>
      </c>
    </row>
    <row r="566" spans="1:6" ht="12.75" customHeight="1" x14ac:dyDescent="0.15">
      <c r="A566" s="58">
        <f>'HAULING RATES- ODOT Locations'!$E$10</f>
        <v>0</v>
      </c>
      <c r="B566" s="58" t="str">
        <f>'HAULING RATES- ODOT Locations'!$A$10&amp;"-Gravel"</f>
        <v>Defiance-Gravel</v>
      </c>
    </row>
    <row r="567" spans="1:6" ht="12.75" customHeight="1" x14ac:dyDescent="0.15">
      <c r="A567" s="58">
        <f>'HAULING RATES- ODOT Locations'!$E$11</f>
        <v>0</v>
      </c>
      <c r="B567" s="58" t="str">
        <f>'HAULING RATES- ODOT Locations'!$A$11&amp;"-Gravel"</f>
        <v>Hancock-Gravel</v>
      </c>
    </row>
    <row r="568" spans="1:6" ht="12.75" customHeight="1" x14ac:dyDescent="0.15">
      <c r="A568" s="58">
        <f>'HAULING RATES- ODOT Locations'!$E$12</f>
        <v>0</v>
      </c>
      <c r="B568" s="58" t="str">
        <f>'HAULING RATES- ODOT Locations'!$A$12&amp;"-Gravel"</f>
        <v>Hardin-Gravel</v>
      </c>
    </row>
    <row r="569" spans="1:6" ht="12.75" customHeight="1" x14ac:dyDescent="0.15">
      <c r="A569" s="58">
        <f>'HAULING RATES- ODOT Locations'!$E$13</f>
        <v>0</v>
      </c>
      <c r="B569" s="58" t="str">
        <f>'HAULING RATES- ODOT Locations'!$A$13&amp;"-Gravel"</f>
        <v>Paulding-Gravel</v>
      </c>
    </row>
    <row r="570" spans="1:6" ht="12.75" customHeight="1" x14ac:dyDescent="0.15">
      <c r="A570" s="58" t="e">
        <f>'HAULING RATES- ODOT Locations'!#REF!</f>
        <v>#REF!</v>
      </c>
      <c r="B570" s="58" t="e">
        <f>'HAULING RATES- ODOT Locations'!#REF!&amp;"-Gravel"</f>
        <v>#REF!</v>
      </c>
    </row>
    <row r="571" spans="1:6" ht="12.75" customHeight="1" x14ac:dyDescent="0.15">
      <c r="A571" s="58">
        <f>'HAULING RATES- ODOT Locations'!$E$15</f>
        <v>0</v>
      </c>
      <c r="B571" s="58" t="str">
        <f>'HAULING RATES- ODOT Locations'!$A$15&amp;"-Gravel"</f>
        <v>Van Wert-Gravel</v>
      </c>
    </row>
    <row r="572" spans="1:6" ht="12.75" customHeight="1" x14ac:dyDescent="0.15">
      <c r="A572" s="58" t="e">
        <f>'HAULING RATES- ODOT Locations'!#REF!</f>
        <v>#REF!</v>
      </c>
      <c r="B572" s="58" t="e">
        <f>'HAULING RATES- ODOT Locations'!#REF!&amp;"-Gravel"</f>
        <v>#REF!</v>
      </c>
    </row>
    <row r="573" spans="1:6" ht="12.75" customHeight="1" x14ac:dyDescent="0.15">
      <c r="A573" s="58">
        <f>'HAULING RATES- ODOT Locations'!$E$20</f>
        <v>0</v>
      </c>
      <c r="B573" s="58" t="str">
        <f>'HAULING RATES- ODOT Locations'!$A$20&amp;"-Gravel"</f>
        <v>Fulton-Gravel</v>
      </c>
    </row>
    <row r="574" spans="1:6" ht="12.75" customHeight="1" x14ac:dyDescent="0.15">
      <c r="A574" s="58" t="e">
        <f>'HAULING RATES- ODOT Locations'!#REF!</f>
        <v>#REF!</v>
      </c>
      <c r="B574" s="58" t="e">
        <f>'HAULING RATES- ODOT Locations'!#REF!&amp;"-Gravel"</f>
        <v>#REF!</v>
      </c>
    </row>
    <row r="575" spans="1:6" ht="12.75" customHeight="1" x14ac:dyDescent="0.15">
      <c r="A575" s="58" t="e">
        <f>'HAULING RATES- ODOT Locations'!#REF!</f>
        <v>#REF!</v>
      </c>
      <c r="B575" s="58" t="e">
        <f>'HAULING RATES- ODOT Locations'!#REF!&amp;"-Gravel"</f>
        <v>#REF!</v>
      </c>
    </row>
    <row r="576" spans="1:6" ht="12.75" customHeight="1" x14ac:dyDescent="0.15">
      <c r="A576" s="58">
        <f>'HAULING RATES- ODOT Locations'!$E$23</f>
        <v>0</v>
      </c>
      <c r="B576" s="58" t="str">
        <f>'HAULING RATES- ODOT Locations'!$A$23&amp;"OAK-Gravel"</f>
        <v>OttawaOAK-Gravel</v>
      </c>
    </row>
    <row r="577" spans="1:2" ht="12.75" customHeight="1" x14ac:dyDescent="0.15">
      <c r="A577" s="58">
        <f>'HAULING RATES- ODOT Locations'!$E$24</f>
        <v>0</v>
      </c>
      <c r="B577" s="58" t="str">
        <f>'HAULING RATES- ODOT Locations'!$A$24&amp;"CLI-Gravel"</f>
        <v>OttawaCLI-Gravel</v>
      </c>
    </row>
    <row r="578" spans="1:2" ht="12.75" customHeight="1" x14ac:dyDescent="0.15">
      <c r="A578" s="58" t="e">
        <f>'HAULING RATES- ODOT Locations'!#REF!</f>
        <v>#REF!</v>
      </c>
      <c r="B578" s="58" t="e">
        <f>'HAULING RATES- ODOT Locations'!#REF!&amp;"-Gravel"</f>
        <v>#REF!</v>
      </c>
    </row>
    <row r="579" spans="1:2" ht="12.75" customHeight="1" x14ac:dyDescent="0.15">
      <c r="A579" s="58">
        <f>'HAULING RATES- ODOT Locations'!$E$26</f>
        <v>0</v>
      </c>
      <c r="B579" s="58" t="str">
        <f>'HAULING RATES- ODOT Locations'!$A$26&amp;"-Gravel"</f>
        <v>Seneca-Gravel</v>
      </c>
    </row>
    <row r="580" spans="1:2" ht="12.75" customHeight="1" x14ac:dyDescent="0.15">
      <c r="A580" s="58">
        <f>'HAULING RATES- ODOT Locations'!$E$27</f>
        <v>0</v>
      </c>
      <c r="B580" s="58" t="str">
        <f>'HAULING RATES- ODOT Locations'!$A$27&amp;"-Gravel"</f>
        <v>Williams-Gravel</v>
      </c>
    </row>
    <row r="581" spans="1:2" ht="12.75" customHeight="1" x14ac:dyDescent="0.15">
      <c r="A581" s="58" t="e">
        <f>'HAULING RATES- ODOT Locations'!#REF!</f>
        <v>#REF!</v>
      </c>
      <c r="B581" s="58" t="e">
        <f>'HAULING RATES- ODOT Locations'!#REF!&amp;"BG-Gravel"</f>
        <v>#REF!</v>
      </c>
    </row>
    <row r="582" spans="1:2" ht="12.75" customHeight="1" x14ac:dyDescent="0.15">
      <c r="A582" s="58">
        <f>'HAULING RATES- ODOT Locations'!$E$30</f>
        <v>0</v>
      </c>
      <c r="B582" s="58" t="str">
        <f>'HAULING RATES- ODOT Locations'!$A$30&amp;"NW-Gravel"</f>
        <v>WoodNW-Gravel</v>
      </c>
    </row>
    <row r="583" spans="1:2" ht="12.75" customHeight="1" x14ac:dyDescent="0.15">
      <c r="A583" s="58">
        <f>'HAULING RATES- ODOT Locations'!$E$34</f>
        <v>0</v>
      </c>
      <c r="B583" s="58" t="str">
        <f>'HAULING RATES- ODOT Locations'!$A$34&amp;"-Gravel"</f>
        <v>Ashland-Gravel</v>
      </c>
    </row>
    <row r="584" spans="1:2" ht="12.75" customHeight="1" x14ac:dyDescent="0.15">
      <c r="A584" s="58" t="e">
        <f>'HAULING RATES- ODOT Locations'!#REF!</f>
        <v>#REF!</v>
      </c>
      <c r="B584" s="58" t="e">
        <f>'HAULING RATES- ODOT Locations'!#REF!&amp;"-Gravel"</f>
        <v>#REF!</v>
      </c>
    </row>
    <row r="585" spans="1:2" ht="12.75" customHeight="1" x14ac:dyDescent="0.15">
      <c r="A585" s="58">
        <f>'HAULING RATES- ODOT Locations'!$E$37</f>
        <v>0</v>
      </c>
      <c r="B585" s="58" t="str">
        <f>'HAULING RATES- ODOT Locations'!$A$37&amp;"MIL-Gravel"</f>
        <v>ErieMIL-Gravel</v>
      </c>
    </row>
    <row r="586" spans="1:2" ht="12.75" customHeight="1" x14ac:dyDescent="0.15">
      <c r="A586" s="58">
        <f>'HAULING RATES- ODOT Locations'!$E$38</f>
        <v>0</v>
      </c>
      <c r="B586" s="58" t="str">
        <f>'HAULING RATES- ODOT Locations'!$A$38&amp;"VER-Gravel"</f>
        <v>ErieVER-Gravel</v>
      </c>
    </row>
    <row r="587" spans="1:2" ht="12.75" customHeight="1" x14ac:dyDescent="0.15">
      <c r="A587" s="58">
        <f>'HAULING RATES- ODOT Locations'!$E$39</f>
        <v>0</v>
      </c>
      <c r="B587" s="58" t="str">
        <f>'HAULING RATES- ODOT Locations'!$A$39&amp;"-Gravel"</f>
        <v>Huron-Gravel</v>
      </c>
    </row>
    <row r="588" spans="1:2" ht="12.75" customHeight="1" x14ac:dyDescent="0.15">
      <c r="A588" s="58">
        <f>'HAULING RATES- ODOT Locations'!$E$41</f>
        <v>0</v>
      </c>
      <c r="B588" s="58" t="str">
        <f>'HAULING RATES- ODOT Locations'!$A$41&amp;"OBE-Gravel"</f>
        <v>LorainOBE-Gravel</v>
      </c>
    </row>
    <row r="589" spans="1:2" ht="12.75" customHeight="1" x14ac:dyDescent="0.15">
      <c r="A589" s="58">
        <f>'HAULING RATES- ODOT Locations'!$E$42</f>
        <v>0</v>
      </c>
      <c r="B589" s="58" t="str">
        <f>'HAULING RATES- ODOT Locations'!$A$42&amp;"AVO-Gravel"</f>
        <v>LorainAVO-Gravel</v>
      </c>
    </row>
    <row r="590" spans="1:2" ht="12.75" customHeight="1" x14ac:dyDescent="0.15">
      <c r="A590" s="58">
        <f>'HAULING RATES- ODOT Locations'!$E$44</f>
        <v>0</v>
      </c>
      <c r="B590" s="58" t="str">
        <f>'HAULING RATES- ODOT Locations'!$A$44&amp;"MED-Gravel"</f>
        <v>MedinaMED-Gravel</v>
      </c>
    </row>
    <row r="591" spans="1:2" ht="12.75" customHeight="1" x14ac:dyDescent="0.15">
      <c r="A591" s="58">
        <f>'HAULING RATES- ODOT Locations'!$E$45</f>
        <v>0</v>
      </c>
      <c r="B591" s="58" t="str">
        <f>'HAULING RATES- ODOT Locations'!$A$45&amp;"BUR-Gravel"</f>
        <v>MedinaBUR-Gravel</v>
      </c>
    </row>
    <row r="592" spans="1:2" ht="12.75" customHeight="1" x14ac:dyDescent="0.15">
      <c r="A592" s="58">
        <f>'HAULING RATES- ODOT Locations'!$E$47</f>
        <v>0</v>
      </c>
      <c r="B592" s="58" t="str">
        <f>'HAULING RATES- ODOT Locations'!$A$47&amp;"MAN-Gravel"</f>
        <v>RichlandMAN-Gravel</v>
      </c>
    </row>
    <row r="593" spans="1:2" ht="12.75" customHeight="1" x14ac:dyDescent="0.15">
      <c r="A593" s="58">
        <f>'HAULING RATES- ODOT Locations'!$E$48</f>
        <v>0</v>
      </c>
      <c r="B593" s="58" t="str">
        <f>'HAULING RATES- ODOT Locations'!$A$48&amp;"BEL-Gravel"</f>
        <v>RichlandBEL-Gravel</v>
      </c>
    </row>
    <row r="594" spans="1:2" ht="12.75" customHeight="1" x14ac:dyDescent="0.15">
      <c r="A594" s="58" t="e">
        <f>'HAULING RATES- ODOT Locations'!#REF!</f>
        <v>#REF!</v>
      </c>
      <c r="B594" s="58" t="e">
        <f>'HAULING RATES- ODOT Locations'!#REF!&amp;"-Gravel"</f>
        <v>#REF!</v>
      </c>
    </row>
    <row r="595" spans="1:2" ht="12.75" customHeight="1" x14ac:dyDescent="0.15">
      <c r="A595" s="58">
        <f>'HAULING RATES- ODOT Locations'!$E$53</f>
        <v>0</v>
      </c>
      <c r="B595" s="58" t="str">
        <f>'HAULING RATES- ODOT Locations'!$A$53&amp;"ATB-Gravel"</f>
        <v>AshtabulaATB-Gravel</v>
      </c>
    </row>
    <row r="596" spans="1:2" ht="12.75" customHeight="1" x14ac:dyDescent="0.15">
      <c r="A596" s="58">
        <f>'HAULING RATES- ODOT Locations'!$E$54</f>
        <v>0</v>
      </c>
      <c r="B596" s="58" t="str">
        <f>'HAULING RATES- ODOT Locations'!$A$54&amp;"CON-Gravel"</f>
        <v>AshtabulaCON-Gravel</v>
      </c>
    </row>
    <row r="597" spans="1:2" ht="12.75" customHeight="1" x14ac:dyDescent="0.15">
      <c r="A597" s="58">
        <f>'HAULING RATES- ODOT Locations'!$E$55</f>
        <v>0</v>
      </c>
      <c r="B597" s="58" t="str">
        <f>'HAULING RATES- ODOT Locations'!$A$55&amp;"DOR-Gravel"</f>
        <v>AshtabulaDOR-Gravel</v>
      </c>
    </row>
    <row r="598" spans="1:2" ht="12.75" customHeight="1" x14ac:dyDescent="0.15">
      <c r="A598" s="58">
        <f>'HAULING RATES- ODOT Locations'!$E$56</f>
        <v>0</v>
      </c>
      <c r="B598" s="58" t="str">
        <f>'HAULING RATES- ODOT Locations'!$A$56&amp;"GEN-Gravel"</f>
        <v>AshtabulaGEN-Gravel</v>
      </c>
    </row>
    <row r="599" spans="1:2" ht="12.75" customHeight="1" x14ac:dyDescent="0.15">
      <c r="A599" s="58">
        <f>'HAULING RATES- ODOT Locations'!$E$57</f>
        <v>0</v>
      </c>
      <c r="B599" s="58" t="str">
        <f>'HAULING RATES- ODOT Locations'!$A$57&amp;"ROM-Gravel"</f>
        <v>AshtabulaROM-Gravel</v>
      </c>
    </row>
    <row r="600" spans="1:2" ht="12.75" customHeight="1" x14ac:dyDescent="0.15">
      <c r="A600" s="58">
        <f>'HAULING RATES- ODOT Locations'!$E$58</f>
        <v>0</v>
      </c>
      <c r="B600" s="58" t="str">
        <f>'HAULING RATES- ODOT Locations'!$A$58&amp;"WIL-Gravel"</f>
        <v>AshtabulaWIL-Gravel</v>
      </c>
    </row>
    <row r="601" spans="1:2" ht="12.75" customHeight="1" x14ac:dyDescent="0.15">
      <c r="A601" s="58">
        <f>'HAULING RATES- ODOT Locations'!$E$59</f>
        <v>0</v>
      </c>
      <c r="B601" s="58" t="str">
        <f>'HAULING RATES- ODOT Locations'!$A$59&amp;"CAN-Gravel"</f>
        <v>MahoningCAN-Gravel</v>
      </c>
    </row>
    <row r="602" spans="1:2" ht="12.75" customHeight="1" x14ac:dyDescent="0.15">
      <c r="A602" s="58">
        <f>'HAULING RATES- ODOT Locations'!$E$60</f>
        <v>0</v>
      </c>
      <c r="B602" s="58" t="str">
        <f>'HAULING RATES- ODOT Locations'!$A$60&amp;"NJ-Gravel"</f>
        <v>MahoningNJ-Gravel</v>
      </c>
    </row>
    <row r="603" spans="1:2" ht="12.75" customHeight="1" x14ac:dyDescent="0.15">
      <c r="A603" s="58">
        <f>'HAULING RATES- ODOT Locations'!$E$61</f>
        <v>0</v>
      </c>
      <c r="B603" s="58" t="str">
        <f>'HAULING RATES- ODOT Locations'!$A$61&amp;"NLI-Gravel"</f>
        <v>MahoningNLI-Gravel</v>
      </c>
    </row>
    <row r="604" spans="1:2" ht="12.75" customHeight="1" x14ac:dyDescent="0.15">
      <c r="A604" s="58" t="e">
        <f>'HAULING RATES- ODOT Locations'!#REF!</f>
        <v>#REF!</v>
      </c>
      <c r="B604" s="58" t="e">
        <f>'HAULING RATES- ODOT Locations'!#REF!&amp;"BEL-Gravel"</f>
        <v>#REF!</v>
      </c>
    </row>
    <row r="605" spans="1:2" ht="12.75" customHeight="1" x14ac:dyDescent="0.15">
      <c r="A605" s="58">
        <f>'HAULING RATES- ODOT Locations'!$E$63</f>
        <v>0</v>
      </c>
      <c r="B605" s="58" t="str">
        <f>'HAULING RATES- ODOT Locations'!$A$63&amp;"YOU-Gravel"</f>
        <v>MahoningYOU-Gravel</v>
      </c>
    </row>
    <row r="606" spans="1:2" ht="12.75" customHeight="1" x14ac:dyDescent="0.15">
      <c r="A606" s="58">
        <f>'HAULING RATES- ODOT Locations'!$E$64</f>
        <v>0</v>
      </c>
      <c r="B606" s="58" t="str">
        <f>'HAULING RATES- ODOT Locations'!$A$64&amp;"WIN-Gravel"</f>
        <v>PortageWIN-Gravel</v>
      </c>
    </row>
    <row r="607" spans="1:2" ht="12.75" customHeight="1" x14ac:dyDescent="0.15">
      <c r="A607" s="58">
        <f>'HAULING RATES- ODOT Locations'!$E$65</f>
        <v>0</v>
      </c>
      <c r="B607" s="58" t="str">
        <f>'HAULING RATES- ODOT Locations'!$A$65&amp;"ROO-Gravel"</f>
        <v>PortageROO-Gravel</v>
      </c>
    </row>
    <row r="608" spans="1:2" ht="12.75" customHeight="1" x14ac:dyDescent="0.15">
      <c r="A608" s="58" t="e">
        <f>'HAULING RATES- ODOT Locations'!#REF!</f>
        <v>#REF!</v>
      </c>
      <c r="B608" s="58" t="e">
        <f>'HAULING RATES- ODOT Locations'!#REF!&amp;"DEE-Gravel"</f>
        <v>#REF!</v>
      </c>
    </row>
    <row r="609" spans="1:2" ht="12.75" customHeight="1" x14ac:dyDescent="0.15">
      <c r="A609" s="58">
        <f>'HAULING RATES- ODOT Locations'!$E$67</f>
        <v>0</v>
      </c>
      <c r="B609" s="58" t="str">
        <f>'HAULING RATES- ODOT Locations'!$A$67&amp;"CAN-Gravel"</f>
        <v>StarkCAN-Gravel</v>
      </c>
    </row>
    <row r="610" spans="1:2" ht="12.75" customHeight="1" x14ac:dyDescent="0.15">
      <c r="A610" s="58">
        <f>'HAULING RATES- ODOT Locations'!$E$68</f>
        <v>0</v>
      </c>
      <c r="B610" s="58" t="str">
        <f>'HAULING RATES- ODOT Locations'!$A$68&amp;"MAS-Gravel"</f>
        <v>StarkMAS-Gravel</v>
      </c>
    </row>
    <row r="611" spans="1:2" ht="12.75" customHeight="1" x14ac:dyDescent="0.15">
      <c r="A611" s="58">
        <f>'HAULING RATES- ODOT Locations'!$E$70</f>
        <v>0</v>
      </c>
      <c r="B611" s="58" t="str">
        <f>'HAULING RATES- ODOT Locations'!$A$70&amp;"HUD-Gravel"</f>
        <v>SummitHUD-Gravel</v>
      </c>
    </row>
    <row r="612" spans="1:2" ht="12.75" customHeight="1" x14ac:dyDescent="0.15">
      <c r="A612" s="58">
        <f>'HAULING RATES- ODOT Locations'!$E$71</f>
        <v>0</v>
      </c>
      <c r="B612" s="58" t="str">
        <f>'HAULING RATES- ODOT Locations'!$A$71&amp;"TWI-Gravel"</f>
        <v>SummitTWI-Gravel</v>
      </c>
    </row>
    <row r="613" spans="1:2" ht="12.75" customHeight="1" x14ac:dyDescent="0.15">
      <c r="A613" s="58">
        <f>'HAULING RATES- ODOT Locations'!$E$72</f>
        <v>0</v>
      </c>
      <c r="B613" s="58" t="str">
        <f>'HAULING RATES- ODOT Locations'!$A$72&amp;"NOR-Gravel"</f>
        <v>SummitNOR-Gravel</v>
      </c>
    </row>
    <row r="614" spans="1:2" ht="12.75" customHeight="1" x14ac:dyDescent="0.15">
      <c r="A614" s="58">
        <f>'HAULING RATES- ODOT Locations'!$E$73</f>
        <v>0</v>
      </c>
      <c r="B614" s="58" t="str">
        <f>'HAULING RATES- ODOT Locations'!$A$73&amp;"CAN-Gravel"</f>
        <v>SummitCAN-Gravel</v>
      </c>
    </row>
    <row r="615" spans="1:2" ht="12.75" customHeight="1" x14ac:dyDescent="0.15">
      <c r="A615" s="58">
        <f>'HAULING RATES- ODOT Locations'!$E$74</f>
        <v>0</v>
      </c>
      <c r="B615" s="58" t="str">
        <f>'HAULING RATES- ODOT Locations'!$A$74&amp;"AKR-Gravel"</f>
        <v>SummitAKR-Gravel</v>
      </c>
    </row>
    <row r="616" spans="1:2" ht="12.75" customHeight="1" x14ac:dyDescent="0.15">
      <c r="A616" s="58">
        <f>'HAULING RATES- ODOT Locations'!$E$75</f>
        <v>0</v>
      </c>
      <c r="B616" s="58" t="str">
        <f>'HAULING RATES- ODOT Locations'!$A$75&amp;"HUB-Gravel"</f>
        <v>TrumbullHUB-Gravel</v>
      </c>
    </row>
    <row r="617" spans="1:2" ht="12.75" customHeight="1" x14ac:dyDescent="0.15">
      <c r="A617" s="58">
        <f>'HAULING RATES- ODOT Locations'!$E$76</f>
        <v>0</v>
      </c>
      <c r="B617" s="58" t="str">
        <f>'HAULING RATES- ODOT Locations'!$A$76&amp;"COR-Gravel"</f>
        <v>TrumbullCOR-Gravel</v>
      </c>
    </row>
    <row r="618" spans="1:2" ht="12.75" customHeight="1" x14ac:dyDescent="0.15">
      <c r="A618" s="58">
        <f>'HAULING RATES- ODOT Locations'!$E$77</f>
        <v>0</v>
      </c>
      <c r="B618" s="58" t="str">
        <f>'HAULING RATES- ODOT Locations'!$A$77&amp;"NB-Gravel"</f>
        <v>TrumbullNB-Gravel</v>
      </c>
    </row>
    <row r="619" spans="1:2" ht="12.75" customHeight="1" x14ac:dyDescent="0.15">
      <c r="A619" s="58">
        <f>'HAULING RATES- ODOT Locations'!$E$78</f>
        <v>0</v>
      </c>
      <c r="B619" s="58" t="str">
        <f>'HAULING RATES- ODOT Locations'!$A$78&amp;"FAR-Gravel"</f>
        <v>TrumbullFAR-Gravel</v>
      </c>
    </row>
    <row r="620" spans="1:2" ht="12.75" customHeight="1" x14ac:dyDescent="0.15">
      <c r="A620" s="58">
        <f>'HAULING RATES- ODOT Locations'!$E$79</f>
        <v>0</v>
      </c>
      <c r="B620" s="58" t="str">
        <f>'HAULING RATES- ODOT Locations'!$A$79&amp;"LEV-Gravel"</f>
        <v>TrumbullLEV-Gravel</v>
      </c>
    </row>
    <row r="621" spans="1:2" ht="12.75" customHeight="1" x14ac:dyDescent="0.15">
      <c r="A621" s="58">
        <f>'HAULING RATES- ODOT Locations'!$E$83</f>
        <v>0</v>
      </c>
      <c r="B621" s="58" t="str">
        <f>'HAULING RATES- ODOT Locations'!$A$83&amp;"COS-Gravel"</f>
        <v>CoshoctonCOS-Gravel</v>
      </c>
    </row>
    <row r="622" spans="1:2" ht="12.75" customHeight="1" x14ac:dyDescent="0.15">
      <c r="A622" s="58">
        <f>'HAULING RATES- ODOT Locations'!$E$84</f>
        <v>0</v>
      </c>
      <c r="B622" s="58" t="str">
        <f>'HAULING RATES- ODOT Locations'!$A$84&amp;"NC-Gravel"</f>
        <v>CoshoctonNC-Gravel</v>
      </c>
    </row>
    <row r="623" spans="1:2" ht="12.75" customHeight="1" x14ac:dyDescent="0.15">
      <c r="A623" s="58">
        <f>'HAULING RATES- ODOT Locations'!$E$85</f>
        <v>0</v>
      </c>
      <c r="B623" s="58" t="str">
        <f>'HAULING RATES- ODOT Locations'!$A$85&amp;"BAL-Gravel"</f>
        <v>FairfieldBAL-Gravel</v>
      </c>
    </row>
    <row r="624" spans="1:2" ht="12.75" customHeight="1" x14ac:dyDescent="0.15">
      <c r="A624" s="58" t="e">
        <f>'HAULING RATES- ODOT Locations'!#REF!</f>
        <v>#REF!</v>
      </c>
      <c r="B624" s="58" t="e">
        <f>'HAULING RATES- ODOT Locations'!#REF!&amp;"LAN-Gravel"</f>
        <v>#REF!</v>
      </c>
    </row>
    <row r="625" spans="1:2" ht="12.75" customHeight="1" x14ac:dyDescent="0.15">
      <c r="A625" s="58">
        <f>'HAULING RATES- ODOT Locations'!$E$87</f>
        <v>0</v>
      </c>
      <c r="B625" s="58" t="str">
        <f>'HAULING RATES- ODOT Locations'!$A$87&amp;"RUS-Gravel"</f>
        <v>FairfieldRUS-Gravel</v>
      </c>
    </row>
    <row r="626" spans="1:2" ht="12.75" customHeight="1" x14ac:dyDescent="0.15">
      <c r="A626" s="58">
        <f>'HAULING RATES- ODOT Locations'!$E$88</f>
        <v>0</v>
      </c>
      <c r="B626" s="58" t="str">
        <f>'HAULING RATES- ODOT Locations'!$A$88&amp;"CAM-Gravel"</f>
        <v>GuernseyCAM-Gravel</v>
      </c>
    </row>
    <row r="627" spans="1:2" ht="12.75" customHeight="1" x14ac:dyDescent="0.15">
      <c r="A627" s="58">
        <f>'HAULING RATES- ODOT Locations'!$E$89</f>
        <v>0</v>
      </c>
      <c r="B627" s="58" t="str">
        <f>'HAULING RATES- ODOT Locations'!$A$89&amp;"KIM-Gravel"</f>
        <v>GuernseyKIM-Gravel</v>
      </c>
    </row>
    <row r="628" spans="1:2" ht="12.75" customHeight="1" x14ac:dyDescent="0.15">
      <c r="A628" s="58">
        <f>'HAULING RATES- ODOT Locations'!$E$90</f>
        <v>0</v>
      </c>
      <c r="B628" s="58" t="str">
        <f>'HAULING RATES- ODOT Locations'!$A$90&amp;"LCI-Gravel"</f>
        <v>GuernseyLCI-Gravel</v>
      </c>
    </row>
    <row r="629" spans="1:2" ht="12.75" customHeight="1" x14ac:dyDescent="0.15">
      <c r="A629" s="58">
        <f>'HAULING RATES- ODOT Locations'!$E$91</f>
        <v>0</v>
      </c>
      <c r="B629" s="58" t="str">
        <f>'HAULING RATES- ODOT Locations'!$A$91&amp;"MTV-Gravel"</f>
        <v>KnoxMTV-Gravel</v>
      </c>
    </row>
    <row r="630" spans="1:2" ht="12.75" customHeight="1" x14ac:dyDescent="0.15">
      <c r="A630" s="58" t="e">
        <f>'HAULING RATES- ODOT Locations'!#REF!</f>
        <v>#REF!</v>
      </c>
      <c r="B630" s="58" t="e">
        <f>'HAULING RATES- ODOT Locations'!#REF!&amp;"DAN-Gravel"</f>
        <v>#REF!</v>
      </c>
    </row>
    <row r="631" spans="1:2" ht="12.75" customHeight="1" x14ac:dyDescent="0.15">
      <c r="A631" s="58">
        <f>'HAULING RATES- ODOT Locations'!$E$92</f>
        <v>0</v>
      </c>
      <c r="B631" s="58" t="str">
        <f>'HAULING RATES- ODOT Locations'!$A$92&amp;"FRE-Gravel"</f>
        <v>KnoxFRE-Gravel</v>
      </c>
    </row>
    <row r="632" spans="1:2" ht="12.75" customHeight="1" x14ac:dyDescent="0.15">
      <c r="A632" s="58">
        <f>'HAULING RATES- ODOT Locations'!$E$93</f>
        <v>0</v>
      </c>
      <c r="B632" s="58" t="str">
        <f>'HAULING RATES- ODOT Locations'!$A$93&amp;"JAC-Gravel"</f>
        <v>LickingJAC-Gravel</v>
      </c>
    </row>
    <row r="633" spans="1:2" ht="12.75" customHeight="1" x14ac:dyDescent="0.15">
      <c r="A633" s="58">
        <f>'HAULING RATES- ODOT Locations'!$E$94</f>
        <v>0</v>
      </c>
      <c r="B633" s="58" t="str">
        <f>'HAULING RATES- ODOT Locations'!$A$94&amp;"PAT-Gravel"</f>
        <v>LickingPAT-Gravel</v>
      </c>
    </row>
    <row r="634" spans="1:2" ht="12.75" customHeight="1" x14ac:dyDescent="0.15">
      <c r="A634" s="58">
        <f>'HAULING RATES- ODOT Locations'!$E$95</f>
        <v>0</v>
      </c>
      <c r="B634" s="58" t="str">
        <f>'HAULING RATES- ODOT Locations'!$A$95&amp;"UTI-Gravel"</f>
        <v>LickingUTI-Gravel</v>
      </c>
    </row>
    <row r="635" spans="1:2" ht="12.75" customHeight="1" x14ac:dyDescent="0.15">
      <c r="A635" s="58">
        <f>'HAULING RATES- ODOT Locations'!$E$96</f>
        <v>0</v>
      </c>
      <c r="B635" s="58" t="str">
        <f>'HAULING RATES- ODOT Locations'!$A$96&amp;"BRO-Gravel"</f>
        <v>LickingBRO-Gravel</v>
      </c>
    </row>
    <row r="636" spans="1:2" ht="12.75" customHeight="1" x14ac:dyDescent="0.15">
      <c r="A636" s="58">
        <f>'HAULING RATES- ODOT Locations'!$E$97</f>
        <v>0</v>
      </c>
      <c r="B636" s="58" t="str">
        <f>'HAULING RATES- ODOT Locations'!$A$97&amp;"NEW-Gravel"</f>
        <v>LickingNEW-Gravel</v>
      </c>
    </row>
    <row r="637" spans="1:2" ht="12.75" customHeight="1" x14ac:dyDescent="0.15">
      <c r="A637" s="58">
        <f>'HAULING RATES- ODOT Locations'!$E$98</f>
        <v>0</v>
      </c>
      <c r="B637" s="58" t="str">
        <f>'HAULING RATES- ODOT Locations'!$A$98&amp;"ZAN-Gravel"</f>
        <v>MuskingumZAN-Gravel</v>
      </c>
    </row>
    <row r="638" spans="1:2" ht="12.75" customHeight="1" x14ac:dyDescent="0.15">
      <c r="A638" s="58" t="e">
        <f>'HAULING RATES- ODOT Locations'!#REF!</f>
        <v>#REF!</v>
      </c>
      <c r="B638" s="58" t="e">
        <f>'HAULING RATES- ODOT Locations'!#REF!&amp;"DRE-Gravel"</f>
        <v>#REF!</v>
      </c>
    </row>
    <row r="639" spans="1:2" ht="12.75" customHeight="1" x14ac:dyDescent="0.15">
      <c r="A639" s="58">
        <f>'HAULING RATES- ODOT Locations'!$E$100</f>
        <v>0</v>
      </c>
      <c r="B639" s="58" t="str">
        <f>'HAULING RATES- ODOT Locations'!$A$100&amp;"DUN-Gravel"</f>
        <v>MuskingumDUN-Gravel</v>
      </c>
    </row>
    <row r="640" spans="1:2" ht="12.75" customHeight="1" x14ac:dyDescent="0.15">
      <c r="A640" s="58">
        <f>'HAULING RATES- ODOT Locations'!$E$101</f>
        <v>0</v>
      </c>
      <c r="B640" s="58" t="str">
        <f>'HAULING RATES- ODOT Locations'!$A$101&amp;"MAY-Gravel"</f>
        <v>MuskingumMAY-Gravel</v>
      </c>
    </row>
    <row r="641" spans="1:2" ht="12.75" customHeight="1" x14ac:dyDescent="0.15">
      <c r="A641" s="58">
        <f>'HAULING RATES- ODOT Locations'!$E$102</f>
        <v>0</v>
      </c>
      <c r="B641" s="58" t="str">
        <f>'HAULING RATES- ODOT Locations'!$A$102&amp;"NLE-Gravel"</f>
        <v>PerryNLE-Gravel</v>
      </c>
    </row>
    <row r="642" spans="1:2" ht="12.75" customHeight="1" x14ac:dyDescent="0.15">
      <c r="A642" s="58">
        <f>'HAULING RATES- ODOT Locations'!$E$103</f>
        <v>0</v>
      </c>
      <c r="B642" s="58" t="str">
        <f>'HAULING RATES- ODOT Locations'!$A$103&amp;"SHA-Gravel"</f>
        <v>PerrySHA-Gravel</v>
      </c>
    </row>
    <row r="643" spans="1:2" ht="12.75" customHeight="1" x14ac:dyDescent="0.15">
      <c r="A643" s="58">
        <f>'HAULING RATES- ODOT Locations'!$E$107</f>
        <v>0</v>
      </c>
      <c r="B643" s="58" t="str">
        <f>'HAULING RATES- ODOT Locations'!$A$107&amp;"DEL-Gravel"</f>
        <v>DelawareDEL-Gravel</v>
      </c>
    </row>
    <row r="644" spans="1:2" ht="12.75" customHeight="1" x14ac:dyDescent="0.15">
      <c r="A644" s="58">
        <f>'HAULING RATES- ODOT Locations'!$E$108</f>
        <v>0</v>
      </c>
      <c r="B644" s="58" t="str">
        <f>'HAULING RATES- ODOT Locations'!$A$108&amp;"BER-Gravel"</f>
        <v>DelawareBER-Gravel</v>
      </c>
    </row>
    <row r="645" spans="1:2" ht="12.75" customHeight="1" x14ac:dyDescent="0.15">
      <c r="A645" s="58">
        <f>'HAULING RATES- ODOT Locations'!$E$109</f>
        <v>0</v>
      </c>
      <c r="B645" s="58" t="str">
        <f>'HAULING RATES- ODOT Locations'!$A$109&amp;"SUN-Gravel"</f>
        <v>DelawareSUN-Gravel</v>
      </c>
    </row>
    <row r="646" spans="1:2" ht="12.75" customHeight="1" x14ac:dyDescent="0.15">
      <c r="A646" s="58">
        <f>'HAULING RATES- ODOT Locations'!$E$110</f>
        <v>0</v>
      </c>
      <c r="B646" s="58" t="str">
        <f>'HAULING RATES- ODOT Locations'!$A$110&amp;"WAS-Gravel"</f>
        <v>FayetteWAS-Gravel</v>
      </c>
    </row>
    <row r="647" spans="1:2" ht="12.75" customHeight="1" x14ac:dyDescent="0.15">
      <c r="A647" s="58">
        <f>'HAULING RATES- ODOT Locations'!$E$111</f>
        <v>0</v>
      </c>
      <c r="B647" s="58" t="str">
        <f>'HAULING RATES- ODOT Locations'!$A$111&amp;"JEF-Gravel"</f>
        <v>FayetteJEF-Gravel</v>
      </c>
    </row>
    <row r="648" spans="1:2" ht="12.75" customHeight="1" x14ac:dyDescent="0.15">
      <c r="A648" s="58">
        <f>'HAULING RATES- ODOT Locations'!$E$112</f>
        <v>0</v>
      </c>
      <c r="B648" s="58" t="str">
        <f>'HAULING RATES- ODOT Locations'!$A$112&amp;"COL-Gravel"</f>
        <v>FranklinCOL-Gravel</v>
      </c>
    </row>
    <row r="649" spans="1:2" ht="12.75" customHeight="1" x14ac:dyDescent="0.15">
      <c r="A649" s="58">
        <f>'HAULING RATES- ODOT Locations'!$E$113</f>
        <v>0</v>
      </c>
      <c r="B649" s="58" t="str">
        <f>'HAULING RATES- ODOT Locations'!$A$113&amp;"GCI-Gravel"</f>
        <v>FranklinGCI-Gravel</v>
      </c>
    </row>
    <row r="650" spans="1:2" ht="12.75" customHeight="1" x14ac:dyDescent="0.15">
      <c r="A650" s="58" t="e">
        <f>'HAULING RATES- ODOT Locations'!#REF!</f>
        <v>#REF!</v>
      </c>
      <c r="B650" s="58" t="e">
        <f>'HAULING RATES- ODOT Locations'!#REF!&amp;"WOR-Gravel"</f>
        <v>#REF!</v>
      </c>
    </row>
    <row r="651" spans="1:2" ht="12.75" customHeight="1" x14ac:dyDescent="0.15">
      <c r="A651" s="58">
        <f>'HAULING RATES- ODOT Locations'!$E$114</f>
        <v>0</v>
      </c>
      <c r="B651" s="58" t="str">
        <f>'HAULING RATES- ODOT Locations'!$A$114&amp;"WES-Gravel"</f>
        <v>FranklinWES-Gravel</v>
      </c>
    </row>
    <row r="652" spans="1:2" ht="12.75" customHeight="1" x14ac:dyDescent="0.15">
      <c r="A652" s="58">
        <f>'HAULING RATES- ODOT Locations'!$E$115</f>
        <v>0</v>
      </c>
      <c r="B652" s="58" t="str">
        <f>'HAULING RATES- ODOT Locations'!$A$115&amp;"HIL-Gravel"</f>
        <v>FranklinHIL-Gravel</v>
      </c>
    </row>
    <row r="653" spans="1:2" ht="12.75" customHeight="1" x14ac:dyDescent="0.15">
      <c r="A653" s="58" t="e">
        <f>'HAULING RATES- ODOT Locations'!#REF!</f>
        <v>#REF!</v>
      </c>
      <c r="B653" s="58" t="e">
        <f>'HAULING RATES- ODOT Locations'!#REF!&amp;"CWC-Gravel"</f>
        <v>#REF!</v>
      </c>
    </row>
    <row r="654" spans="1:2" ht="12.75" customHeight="1" x14ac:dyDescent="0.15">
      <c r="A654" s="58" t="e">
        <f>'HAULING RATES- ODOT Locations'!#REF!</f>
        <v>#REF!</v>
      </c>
      <c r="B654" s="58" t="e">
        <f>'HAULING RATES- ODOT Locations'!#REF!&amp;"LON-Gravel"</f>
        <v>#REF!</v>
      </c>
    </row>
    <row r="655" spans="1:2" ht="12.75" customHeight="1" x14ac:dyDescent="0.15">
      <c r="A655" s="58" t="e">
        <f>'HAULING RATES- ODOT Locations'!#REF!</f>
        <v>#REF!</v>
      </c>
      <c r="B655" s="58" t="e">
        <f>'HAULING RATES- ODOT Locations'!#REF!&amp;"MTS-Gravel"</f>
        <v>#REF!</v>
      </c>
    </row>
    <row r="656" spans="1:2" ht="12.75" customHeight="1" x14ac:dyDescent="0.15">
      <c r="A656" s="58" t="e">
        <f>'HAULING RATES- ODOT Locations'!#REF!</f>
        <v>#REF!</v>
      </c>
      <c r="B656" s="58" t="e">
        <f>'HAULING RATES- ODOT Locations'!#REF!&amp;"LAF-Gravel"</f>
        <v>#REF!</v>
      </c>
    </row>
    <row r="657" spans="1:2" ht="12.75" customHeight="1" x14ac:dyDescent="0.15">
      <c r="A657" s="58" t="e">
        <f>'HAULING RATES- ODOT Locations'!#REF!</f>
        <v>#REF!</v>
      </c>
      <c r="B657" s="58" t="e">
        <f>'HAULING RATES- ODOT Locations'!#REF!&amp;"WJE-Gravel"</f>
        <v>#REF!</v>
      </c>
    </row>
    <row r="658" spans="1:2" ht="12.75" customHeight="1" x14ac:dyDescent="0.15">
      <c r="A658" s="58">
        <f>'HAULING RATES- ODOT Locations'!$E$118</f>
        <v>0</v>
      </c>
      <c r="B658" s="58" t="str">
        <f>'HAULING RATES- ODOT Locations'!$A$118&amp;"MWI-Gravel"</f>
        <v>MarionMWI-Gravel</v>
      </c>
    </row>
    <row r="659" spans="1:2" ht="12.75" customHeight="1" x14ac:dyDescent="0.15">
      <c r="A659" s="58" t="e">
        <f>'HAULING RATES- ODOT Locations'!#REF!</f>
        <v>#REF!</v>
      </c>
      <c r="B659" s="58" t="e">
        <f>'HAULING RATES- ODOT Locations'!#REF!&amp;"MAR-Gravel"</f>
        <v>#REF!</v>
      </c>
    </row>
    <row r="660" spans="1:2" ht="12.75" customHeight="1" x14ac:dyDescent="0.15">
      <c r="A660" s="58">
        <f>'HAULING RATES- ODOT Locations'!$E$119</f>
        <v>0</v>
      </c>
      <c r="B660" s="58" t="str">
        <f>'HAULING RATES- ODOT Locations'!$A$119&amp;"CHV-Gravel"</f>
        <v>MorrowCHV-Gravel</v>
      </c>
    </row>
    <row r="661" spans="1:2" ht="12.75" customHeight="1" x14ac:dyDescent="0.15">
      <c r="A661" s="58">
        <f>'HAULING RATES- ODOT Locations'!$E$120</f>
        <v>0</v>
      </c>
      <c r="B661" s="58" t="str">
        <f>'HAULING RATES- ODOT Locations'!$A$120&amp;"MTG-Gravel"</f>
        <v>MorrowMTG-Gravel</v>
      </c>
    </row>
    <row r="662" spans="1:2" ht="12.75" customHeight="1" x14ac:dyDescent="0.15">
      <c r="A662" s="58">
        <f>'HAULING RATES- ODOT Locations'!$E$121</f>
        <v>0</v>
      </c>
      <c r="B662" s="58" t="str">
        <f>'HAULING RATES- ODOT Locations'!$A$121&amp;"CIR-Gravel"</f>
        <v>PickawayCIR-Gravel</v>
      </c>
    </row>
    <row r="663" spans="1:2" ht="12.75" customHeight="1" x14ac:dyDescent="0.15">
      <c r="A663" s="58">
        <f>'HAULING RATES- ODOT Locations'!$E$122</f>
        <v>0</v>
      </c>
      <c r="B663" s="58" t="str">
        <f>'HAULING RATES- ODOT Locations'!$A$122&amp;"MAR-Gravel"</f>
        <v>UnionMAR-Gravel</v>
      </c>
    </row>
    <row r="664" spans="1:2" ht="12.75" customHeight="1" x14ac:dyDescent="0.15">
      <c r="A664" s="58">
        <f>'HAULING RATES- ODOT Locations'!$E$123</f>
        <v>0</v>
      </c>
      <c r="B664" s="58" t="str">
        <f>'HAULING RATES- ODOT Locations'!$A$123&amp;"RIC-Gravel"</f>
        <v>UnionRIC-Gravel</v>
      </c>
    </row>
    <row r="665" spans="1:2" ht="12.75" customHeight="1" x14ac:dyDescent="0.15">
      <c r="A665" s="58">
        <f>'HAULING RATES- ODOT Locations'!$E$127</f>
        <v>0</v>
      </c>
      <c r="B665" s="58" t="str">
        <f>'HAULING RATES- ODOT Locations'!$A$127&amp;"WAP-Gravel"</f>
        <v>AuglaizeWAP-Gravel</v>
      </c>
    </row>
    <row r="666" spans="1:2" ht="12.75" customHeight="1" x14ac:dyDescent="0.15">
      <c r="A666" s="58">
        <f>'HAULING RATES- ODOT Locations'!$E$128</f>
        <v>0</v>
      </c>
      <c r="B666" s="58" t="str">
        <f>'HAULING RATES- ODOT Locations'!$A$128&amp;"STM-Gravel"</f>
        <v>AuglaizeSTM-Gravel</v>
      </c>
    </row>
    <row r="667" spans="1:2" ht="12.75" customHeight="1" x14ac:dyDescent="0.15">
      <c r="A667" s="58">
        <f>'HAULING RATES- ODOT Locations'!$E$129</f>
        <v>0</v>
      </c>
      <c r="B667" s="58" t="str">
        <f>'HAULING RATES- ODOT Locations'!$A$129&amp;"URB-Gravel"</f>
        <v>ChampaignURB-Gravel</v>
      </c>
    </row>
    <row r="668" spans="1:2" ht="12.75" customHeight="1" x14ac:dyDescent="0.15">
      <c r="A668" s="58">
        <f>'HAULING RATES- ODOT Locations'!$E$130</f>
        <v>0</v>
      </c>
      <c r="B668" s="58" t="str">
        <f>'HAULING RATES- ODOT Locations'!$A$130&amp;"STP-Gravel"</f>
        <v>ChampaignSTP-Gravel</v>
      </c>
    </row>
    <row r="669" spans="1:2" ht="12.75" customHeight="1" x14ac:dyDescent="0.15">
      <c r="A669" s="58">
        <f>'HAULING RATES- ODOT Locations'!$E$131</f>
        <v>0</v>
      </c>
      <c r="B669" s="58" t="str">
        <f>'HAULING RATES- ODOT Locations'!$A$131&amp;"WOO-Gravel"</f>
        <v>ChampaignWOO-Gravel</v>
      </c>
    </row>
    <row r="670" spans="1:2" ht="12.75" customHeight="1" x14ac:dyDescent="0.15">
      <c r="A670" s="58">
        <f>'HAULING RATES- ODOT Locations'!$E$132</f>
        <v>0</v>
      </c>
      <c r="B670" s="58" t="str">
        <f>'HAULING RATES- ODOT Locations'!$A$132&amp;"SPR-Gravel"</f>
        <v>ClarkSPR-Gravel</v>
      </c>
    </row>
    <row r="671" spans="1:2" ht="12.75" customHeight="1" x14ac:dyDescent="0.15">
      <c r="A671" s="58">
        <f>'HAULING RATES- ODOT Locations'!$E$133</f>
        <v>0</v>
      </c>
      <c r="B671" s="58" t="str">
        <f>'HAULING RATES- ODOT Locations'!$A$133&amp;"ENO-Gravel"</f>
        <v>ClarkENO-Gravel</v>
      </c>
    </row>
    <row r="672" spans="1:2" ht="12.75" customHeight="1" x14ac:dyDescent="0.15">
      <c r="A672" s="58">
        <f>'HAULING RATES- ODOT Locations'!$E$134</f>
        <v>0</v>
      </c>
      <c r="B672" s="58" t="str">
        <f>'HAULING RATES- ODOT Locations'!$A$134&amp;"HAR-Gravel"</f>
        <v>ClarkHAR-Gravel</v>
      </c>
    </row>
    <row r="673" spans="1:2" ht="12.75" customHeight="1" x14ac:dyDescent="0.15">
      <c r="A673" s="58">
        <f>'HAULING RATES- ODOT Locations'!$E$135</f>
        <v>0</v>
      </c>
      <c r="B673" s="58" t="str">
        <f>'HAULING RATES- ODOT Locations'!$A$135&amp;"GRE-Gravel"</f>
        <v>DarkeGRE-Gravel</v>
      </c>
    </row>
    <row r="674" spans="1:2" ht="12.75" customHeight="1" x14ac:dyDescent="0.15">
      <c r="A674" s="58">
        <f>'HAULING RATES- ODOT Locations'!$E$136</f>
        <v>0</v>
      </c>
      <c r="B674" s="58" t="str">
        <f>'HAULING RATES- ODOT Locations'!$A$136&amp;"DAW-Gravel"</f>
        <v>DarkeDAW-Gravel</v>
      </c>
    </row>
    <row r="675" spans="1:2" ht="12.75" customHeight="1" x14ac:dyDescent="0.15">
      <c r="A675" s="58" t="e">
        <f>'HAULING RATES- ODOT Locations'!#REF!</f>
        <v>#REF!</v>
      </c>
      <c r="B675" s="58" t="e">
        <f>'HAULING RATES- ODOT Locations'!#REF!&amp;"BEL-Gravel"</f>
        <v>#REF!</v>
      </c>
    </row>
    <row r="676" spans="1:2" ht="12.75" customHeight="1" x14ac:dyDescent="0.15">
      <c r="A676" s="58">
        <f>'HAULING RATES- ODOT Locations'!$E$137</f>
        <v>0</v>
      </c>
      <c r="B676" s="58" t="str">
        <f>'HAULING RATES- ODOT Locations'!$A$137&amp;"LAK-Gravel"</f>
        <v>LoganLAK-Gravel</v>
      </c>
    </row>
    <row r="677" spans="1:2" ht="12.75" customHeight="1" x14ac:dyDescent="0.15">
      <c r="A677" s="58">
        <f>'HAULING RATES- ODOT Locations'!$E$138</f>
        <v>0</v>
      </c>
      <c r="B677" s="58" t="str">
        <f>'HAULING RATES- ODOT Locations'!$A$138&amp;"ZAN-Gravel"</f>
        <v>LoganZAN-Gravel</v>
      </c>
    </row>
    <row r="678" spans="1:2" ht="12.75" customHeight="1" x14ac:dyDescent="0.15">
      <c r="A678" s="58">
        <f>'HAULING RATES- ODOT Locations'!$E$139</f>
        <v>0</v>
      </c>
      <c r="B678" s="58" t="str">
        <f>'HAULING RATES- ODOT Locations'!$A$139&amp;"BEL-Gravel"</f>
        <v>LoganBEL-Gravel</v>
      </c>
    </row>
    <row r="679" spans="1:2" ht="12.75" customHeight="1" x14ac:dyDescent="0.15">
      <c r="A679" s="58">
        <f>'HAULING RATES- ODOT Locations'!$E$140</f>
        <v>0</v>
      </c>
      <c r="B679" s="58" t="str">
        <f>'HAULING RATES- ODOT Locations'!$A$140&amp;"WCE-Gravel"</f>
        <v>MercerWCE-Gravel</v>
      </c>
    </row>
    <row r="680" spans="1:2" ht="12.75" customHeight="1" x14ac:dyDescent="0.15">
      <c r="A680" s="58">
        <f>'HAULING RATES- ODOT Locations'!$E$141</f>
        <v>0</v>
      </c>
      <c r="B680" s="58" t="str">
        <f>'HAULING RATES- ODOT Locations'!$A$141&amp;"CEL-Gravel"</f>
        <v>MercerCEL-Gravel</v>
      </c>
    </row>
    <row r="681" spans="1:2" ht="12.75" customHeight="1" x14ac:dyDescent="0.15">
      <c r="A681" s="58">
        <f>'HAULING RATES- ODOT Locations'!$E$142</f>
        <v>0</v>
      </c>
      <c r="B681" s="58" t="str">
        <f>'HAULING RATES- ODOT Locations'!$A$142&amp;"STH-Gravel"</f>
        <v>MercerSTH-Gravel</v>
      </c>
    </row>
    <row r="682" spans="1:2" ht="12.75" customHeight="1" x14ac:dyDescent="0.15">
      <c r="A682" s="58">
        <f>'HAULING RATES- ODOT Locations'!$E$143</f>
        <v>0</v>
      </c>
      <c r="B682" s="58" t="str">
        <f>'HAULING RATES- ODOT Locations'!$A$143&amp;"TRO-Gravel"</f>
        <v>MiamiTRO-Gravel</v>
      </c>
    </row>
    <row r="683" spans="1:2" ht="12.75" customHeight="1" x14ac:dyDescent="0.15">
      <c r="A683" s="58">
        <f>'HAULING RATES- ODOT Locations'!$E$144</f>
        <v>0</v>
      </c>
      <c r="B683" s="58" t="str">
        <f>'HAULING RATES- ODOT Locations'!$A$144&amp;"PIQ-Gravel"</f>
        <v>MiamiPIQ-Gravel</v>
      </c>
    </row>
    <row r="684" spans="1:2" ht="12.75" customHeight="1" x14ac:dyDescent="0.15">
      <c r="A684" s="58">
        <f>'HAULING RATES- ODOT Locations'!$E$145</f>
        <v>0</v>
      </c>
      <c r="B684" s="58" t="str">
        <f>'HAULING RATES- ODOT Locations'!$A$145&amp;"ENG-Gravel"</f>
        <v>MontgomeryENG-Gravel</v>
      </c>
    </row>
    <row r="685" spans="1:2" ht="12.75" customHeight="1" x14ac:dyDescent="0.15">
      <c r="A685" s="58">
        <f>'HAULING RATES- ODOT Locations'!$E$146</f>
        <v>0</v>
      </c>
      <c r="B685" s="58" t="str">
        <f>'HAULING RATES- ODOT Locations'!$A$146&amp;"MIA-Gravel"</f>
        <v>MontgomeryMIA-Gravel</v>
      </c>
    </row>
    <row r="686" spans="1:2" ht="12.75" customHeight="1" x14ac:dyDescent="0.15">
      <c r="A686" s="58">
        <f>'HAULING RATES- ODOT Locations'!$E$147</f>
        <v>0</v>
      </c>
      <c r="B686" s="58" t="str">
        <f>'HAULING RATES- ODOT Locations'!$A$147&amp;"HHE-Gravel"</f>
        <v>MontgomeryHHE-Gravel</v>
      </c>
    </row>
    <row r="687" spans="1:2" ht="12.75" customHeight="1" x14ac:dyDescent="0.15">
      <c r="A687" s="58">
        <f>'HAULING RATES- ODOT Locations'!$E$148</f>
        <v>0</v>
      </c>
      <c r="B687" s="58" t="str">
        <f>'HAULING RATES- ODOT Locations'!$A$148&amp;"SID-Gravel"</f>
        <v>ShelbySID-Gravel</v>
      </c>
    </row>
    <row r="688" spans="1:2" ht="12.75" customHeight="1" x14ac:dyDescent="0.15">
      <c r="A688" s="58">
        <f>'HAULING RATES- ODOT Locations'!$E$150</f>
        <v>0</v>
      </c>
      <c r="B688" s="58" t="str">
        <f>'HAULING RATES- ODOT Locations'!$A$150&amp;"FTL-Gravel"</f>
        <v>ShelbyFTL-Gravel</v>
      </c>
    </row>
    <row r="689" spans="1:2" ht="12.75" customHeight="1" x14ac:dyDescent="0.15">
      <c r="A689" s="58">
        <f>'HAULING RATES- ODOT Locations'!$E$154</f>
        <v>0</v>
      </c>
      <c r="B689" s="58" t="str">
        <f>'HAULING RATES- ODOT Locations'!$A$154&amp;"HAM-Gravel"</f>
        <v>ButlerHAM-Gravel</v>
      </c>
    </row>
    <row r="690" spans="1:2" ht="12.75" customHeight="1" x14ac:dyDescent="0.15">
      <c r="A690" s="58">
        <f>'HAULING RATES- ODOT Locations'!$E$155</f>
        <v>0</v>
      </c>
      <c r="B690" s="58" t="str">
        <f>'HAULING RATES- ODOT Locations'!$A$155&amp;"MID-Gravel"</f>
        <v>ButlerMID-Gravel</v>
      </c>
    </row>
    <row r="691" spans="1:2" ht="12.75" customHeight="1" x14ac:dyDescent="0.15">
      <c r="A691" s="58">
        <f>'HAULING RATES- ODOT Locations'!$E$156</f>
        <v>0</v>
      </c>
      <c r="B691" s="58" t="str">
        <f>'HAULING RATES- ODOT Locations'!$A$156&amp;"AME-Gravel"</f>
        <v>ClermontAME-Gravel</v>
      </c>
    </row>
    <row r="692" spans="1:2" ht="12.75" customHeight="1" x14ac:dyDescent="0.15">
      <c r="A692" s="58">
        <f>'HAULING RATES- ODOT Locations'!$E$157</f>
        <v>0</v>
      </c>
      <c r="B692" s="58" t="str">
        <f>'HAULING RATES- ODOT Locations'!$A$157&amp;"MIL-Gravel"</f>
        <v>ClermontMIL-Gravel</v>
      </c>
    </row>
    <row r="693" spans="1:2" ht="12.75" customHeight="1" x14ac:dyDescent="0.15">
      <c r="A693" s="58">
        <f>'HAULING RATES- ODOT Locations'!$E$158</f>
        <v>0</v>
      </c>
      <c r="B693" s="58" t="str">
        <f>'HAULING RATES- ODOT Locations'!$A$158&amp;"NER-Gravel"</f>
        <v>ClermontNER-Gravel</v>
      </c>
    </row>
    <row r="694" spans="1:2" ht="12.75" customHeight="1" x14ac:dyDescent="0.15">
      <c r="A694" s="58">
        <f>'HAULING RATES- ODOT Locations'!$E$159</f>
        <v>0</v>
      </c>
      <c r="B694" s="58" t="str">
        <f>'HAULING RATES- ODOT Locations'!$A$159&amp;"WIL-Gravel"</f>
        <v>ClintonWIL-Gravel</v>
      </c>
    </row>
    <row r="695" spans="1:2" ht="12.75" customHeight="1" x14ac:dyDescent="0.15">
      <c r="A695" s="58">
        <f>'HAULING RATES- ODOT Locations'!$E$160</f>
        <v>0</v>
      </c>
      <c r="B695" s="58" t="str">
        <f>'HAULING RATES- ODOT Locations'!$A$160&amp;"NWI-Gravel"</f>
        <v>ClintonNWI-Gravel</v>
      </c>
    </row>
    <row r="696" spans="1:2" ht="12.75" customHeight="1" x14ac:dyDescent="0.15">
      <c r="A696" s="58">
        <f>'HAULING RATES- ODOT Locations'!$E$161</f>
        <v>0</v>
      </c>
      <c r="B696" s="58" t="str">
        <f>'HAULING RATES- ODOT Locations'!$A$161&amp;"-Gravel"</f>
        <v>Greene-Gravel</v>
      </c>
    </row>
    <row r="697" spans="1:2" ht="12.75" customHeight="1" x14ac:dyDescent="0.15">
      <c r="A697" s="58">
        <f>'HAULING RATES- ODOT Locations'!$E$162</f>
        <v>0</v>
      </c>
      <c r="B697" s="58" t="str">
        <f>'HAULING RATES- ODOT Locations'!$A$162&amp;"BLA-Gravel"</f>
        <v>HamiltonBLA-Gravel</v>
      </c>
    </row>
    <row r="698" spans="1:2" ht="12.75" customHeight="1" x14ac:dyDescent="0.15">
      <c r="A698" s="58">
        <f>'HAULING RATES- ODOT Locations'!$E$163</f>
        <v>0</v>
      </c>
      <c r="B698" s="58" t="str">
        <f>'HAULING RATES- ODOT Locations'!$A$163&amp;"CIN-Gravel"</f>
        <v>HamiltonCIN-Gravel</v>
      </c>
    </row>
    <row r="699" spans="1:2" ht="12.75" customHeight="1" x14ac:dyDescent="0.15">
      <c r="A699" s="58">
        <f>'HAULING RATES- ODOT Locations'!$E$164</f>
        <v>0</v>
      </c>
      <c r="B699" s="58" t="str">
        <f>'HAULING RATES- ODOT Locations'!$A$164&amp;"MIA-Gravel"</f>
        <v>HamiltonMIA-Gravel</v>
      </c>
    </row>
    <row r="700" spans="1:2" ht="12.75" customHeight="1" x14ac:dyDescent="0.15">
      <c r="A700" s="58">
        <f>'HAULING RATES- ODOT Locations'!$E$165</f>
        <v>0</v>
      </c>
      <c r="B700" s="58" t="str">
        <f>'HAULING RATES- ODOT Locations'!$A$165&amp;"SHA-Gravel"</f>
        <v>HamiltonSHA-Gravel</v>
      </c>
    </row>
    <row r="701" spans="1:2" ht="12.75" customHeight="1" x14ac:dyDescent="0.15">
      <c r="A701" s="58" t="e">
        <f>'HAULING RATES- ODOT Locations'!#REF!</f>
        <v>#REF!</v>
      </c>
      <c r="B701" s="58" t="e">
        <f>'HAULING RATES- ODOT Locations'!#REF!&amp;"-Gravel"</f>
        <v>#REF!</v>
      </c>
    </row>
    <row r="702" spans="1:2" ht="12.75" customHeight="1" x14ac:dyDescent="0.15">
      <c r="A702" s="58">
        <f>'HAULING RATES- ODOT Locations'!$E$166</f>
        <v>0</v>
      </c>
      <c r="B702" s="58" t="str">
        <f>'HAULING RATES- ODOT Locations'!$A$166&amp;"NEA-Gravel"</f>
        <v>PrebleNEA-Gravel</v>
      </c>
    </row>
    <row r="703" spans="1:2" ht="12.75" customHeight="1" x14ac:dyDescent="0.15">
      <c r="A703" s="58" t="e">
        <f>'HAULING RATES- ODOT Locations'!#REF!</f>
        <v>#REF!</v>
      </c>
      <c r="B703" s="58" t="e">
        <f>'HAULING RATES- ODOT Locations'!#REF!&amp;"CAM-Gravel"</f>
        <v>#REF!</v>
      </c>
    </row>
    <row r="704" spans="1:2" ht="12.75" customHeight="1" x14ac:dyDescent="0.15">
      <c r="A704" s="58">
        <f>'HAULING RATES- ODOT Locations'!$E$168</f>
        <v>0</v>
      </c>
      <c r="B704" s="58" t="str">
        <f>'HAULING RATES- ODOT Locations'!$A$168&amp;"EAL-Gravel"</f>
        <v>PrebleEAL-Gravel</v>
      </c>
    </row>
    <row r="705" spans="1:2" ht="12.75" customHeight="1" x14ac:dyDescent="0.15">
      <c r="A705" s="58">
        <f>'HAULING RATES- ODOT Locations'!$E$169</f>
        <v>0</v>
      </c>
      <c r="B705" s="58" t="str">
        <f>'HAULING RATES- ODOT Locations'!$A$169&amp;"MON-Gravel"</f>
        <v>WarrenMON-Gravel</v>
      </c>
    </row>
    <row r="706" spans="1:2" ht="12.75" customHeight="1" x14ac:dyDescent="0.15">
      <c r="A706" s="58">
        <f>'HAULING RATES- ODOT Locations'!$E$170</f>
        <v>0</v>
      </c>
      <c r="B706" s="58" t="str">
        <f>'HAULING RATES- ODOT Locations'!$A$170&amp;"LEB-Gravel"</f>
        <v>WarrenLEB-Gravel</v>
      </c>
    </row>
    <row r="707" spans="1:2" ht="12.75" customHeight="1" x14ac:dyDescent="0.15">
      <c r="A707" s="58">
        <f>'HAULING RATES- ODOT Locations'!$E$174</f>
        <v>0</v>
      </c>
      <c r="B707" s="58" t="str">
        <f>'HAULING RATES- ODOT Locations'!$A$174&amp;"PEE-Gravel"</f>
        <v>AdamsPEE-Gravel</v>
      </c>
    </row>
    <row r="708" spans="1:2" ht="12.75" customHeight="1" x14ac:dyDescent="0.15">
      <c r="A708" s="58" t="e">
        <f>'HAULING RATES- ODOT Locations'!#REF!</f>
        <v>#REF!</v>
      </c>
      <c r="B708" s="58" t="e">
        <f>'HAULING RATES- ODOT Locations'!#REF!&amp;"WUN-Gravel"</f>
        <v>#REF!</v>
      </c>
    </row>
    <row r="709" spans="1:2" ht="12.75" customHeight="1" x14ac:dyDescent="0.15">
      <c r="A709" s="58">
        <f>'HAULING RATES- ODOT Locations'!$E$176</f>
        <v>0</v>
      </c>
      <c r="B709" s="58" t="str">
        <f>'HAULING RATES- ODOT Locations'!$A$176&amp;"GEO-Gravel"</f>
        <v>BrownGEO-Gravel</v>
      </c>
    </row>
    <row r="710" spans="1:2" ht="12.75" customHeight="1" x14ac:dyDescent="0.15">
      <c r="A710" s="58">
        <f>'HAULING RATES- ODOT Locations'!$E$177</f>
        <v>0</v>
      </c>
      <c r="B710" s="58" t="str">
        <f>'HAULING RATES- ODOT Locations'!$A$177&amp;"MTO-Gravel"</f>
        <v>BrownMTO-Gravel</v>
      </c>
    </row>
    <row r="711" spans="1:2" ht="12.75" customHeight="1" x14ac:dyDescent="0.15">
      <c r="A711" s="58">
        <f>'HAULING RATES- ODOT Locations'!$E$178</f>
        <v>0</v>
      </c>
      <c r="B711" s="58" t="str">
        <f>'HAULING RATES- ODOT Locations'!$A$178&amp;"-Gravel"</f>
        <v>Highland-Gravel</v>
      </c>
    </row>
    <row r="712" spans="1:2" ht="12.75" customHeight="1" x14ac:dyDescent="0.15">
      <c r="A712" s="58">
        <f>'HAULING RATES- ODOT Locations'!$E$179</f>
        <v>0</v>
      </c>
      <c r="B712" s="58" t="str">
        <f>'HAULING RATES- ODOT Locations'!$A$179&amp;"-Gravel"</f>
        <v>Jackson-Gravel</v>
      </c>
    </row>
    <row r="713" spans="1:2" ht="12.75" customHeight="1" x14ac:dyDescent="0.15">
      <c r="A713" s="58">
        <f>'HAULING RATES- ODOT Locations'!$E$181</f>
        <v>0</v>
      </c>
      <c r="B713" s="58" t="str">
        <f>'HAULING RATES- ODOT Locations'!$A$181&amp;"IRO-Gravel"</f>
        <v>LawrenceIRO-Gravel</v>
      </c>
    </row>
    <row r="714" spans="1:2" ht="12.75" customHeight="1" x14ac:dyDescent="0.15">
      <c r="A714" s="58">
        <f>'HAULING RATES- ODOT Locations'!$E$182</f>
        <v>0</v>
      </c>
      <c r="B714" s="58" t="str">
        <f>'HAULING RATES- ODOT Locations'!$A$182&amp;"PRO-Gravel"</f>
        <v>LawrencePRO-Gravel</v>
      </c>
    </row>
    <row r="715" spans="1:2" ht="12.75" customHeight="1" x14ac:dyDescent="0.15">
      <c r="A715" s="58" t="e">
        <f>'HAULING RATES- ODOT Locations'!#REF!</f>
        <v>#REF!</v>
      </c>
      <c r="B715" s="58" t="e">
        <f>'HAULING RATES- ODOT Locations'!#REF!&amp;"WIL-Gravel"</f>
        <v>#REF!</v>
      </c>
    </row>
    <row r="716" spans="1:2" ht="12.75" customHeight="1" x14ac:dyDescent="0.15">
      <c r="A716" s="58" t="e">
        <f>'HAULING RATES- ODOT Locations'!#REF!</f>
        <v>#REF!</v>
      </c>
      <c r="B716" s="58" t="e">
        <f>'HAULING RATES- ODOT Locations'!#REF!&amp;"-Gravel"</f>
        <v>#REF!</v>
      </c>
    </row>
    <row r="717" spans="1:2" ht="12.75" customHeight="1" x14ac:dyDescent="0.15">
      <c r="A717" s="58">
        <f>'HAULING RATES- ODOT Locations'!$E$185</f>
        <v>0</v>
      </c>
      <c r="B717" s="58" t="str">
        <f>'HAULING RATES- ODOT Locations'!$A$185&amp;"-Gravel"</f>
        <v>Ross-Gravel</v>
      </c>
    </row>
    <row r="718" spans="1:2" ht="12.75" customHeight="1" x14ac:dyDescent="0.15">
      <c r="A718" s="58">
        <f>'HAULING RATES- ODOT Locations'!$E$186</f>
        <v>0</v>
      </c>
      <c r="B718" s="58" t="str">
        <f>'HAULING RATES- ODOT Locations'!$A$186&amp;"LUC-Gravel"</f>
        <v>SciotoLUC-Gravel</v>
      </c>
    </row>
    <row r="719" spans="1:2" ht="12.75" customHeight="1" x14ac:dyDescent="0.15">
      <c r="A719" s="58">
        <f>'HAULING RATES- ODOT Locations'!$E$187</f>
        <v>0</v>
      </c>
      <c r="B719" s="58" t="str">
        <f>'HAULING RATES- ODOT Locations'!$A$187&amp;"WHE-Gravel"</f>
        <v>SciotoWHE-Gravel</v>
      </c>
    </row>
    <row r="720" spans="1:2" ht="12.75" customHeight="1" x14ac:dyDescent="0.15">
      <c r="A720" s="58">
        <f>'HAULING RATES- ODOT Locations'!$E$191</f>
        <v>0</v>
      </c>
      <c r="B720" s="58" t="str">
        <f>'HAULING RATES- ODOT Locations'!$A$191&amp;"ATH-Gravel"</f>
        <v>AthensATH-Gravel</v>
      </c>
    </row>
    <row r="721" spans="1:2" ht="12.75" customHeight="1" x14ac:dyDescent="0.15">
      <c r="A721" s="58" t="e">
        <f>'HAULING RATES- ODOT Locations'!#REF!</f>
        <v>#REF!</v>
      </c>
      <c r="B721" s="58" t="e">
        <f>'HAULING RATES- ODOT Locations'!#REF!&amp;"GLO-Gravel"</f>
        <v>#REF!</v>
      </c>
    </row>
    <row r="722" spans="1:2" ht="12.75" customHeight="1" x14ac:dyDescent="0.15">
      <c r="A722" s="58">
        <f>'HAULING RATES- ODOT Locations'!$E$193</f>
        <v>0</v>
      </c>
      <c r="B722" s="58" t="str">
        <f>'HAULING RATES- ODOT Locations'!$A$193&amp;"COO-Gravel"</f>
        <v>GalliaCOO-Gravel</v>
      </c>
    </row>
    <row r="723" spans="1:2" ht="12.75" customHeight="1" x14ac:dyDescent="0.15">
      <c r="A723" s="58">
        <f>'HAULING RATES- ODOT Locations'!$E$194</f>
        <v>0</v>
      </c>
      <c r="B723" s="58" t="str">
        <f>'HAULING RATES- ODOT Locations'!$A$194&amp;"-Gravel"</f>
        <v>Hocking-Gravel</v>
      </c>
    </row>
    <row r="724" spans="1:2" ht="12.75" customHeight="1" x14ac:dyDescent="0.15">
      <c r="A724" s="58">
        <f>'HAULING RATES- ODOT Locations'!$E$195</f>
        <v>0</v>
      </c>
      <c r="B724" s="58" t="str">
        <f>'HAULING RATES- ODOT Locations'!$A$195&amp;"LOG-Gravel"</f>
        <v>HockingLOG-Gravel</v>
      </c>
    </row>
    <row r="725" spans="1:2" ht="12.75" customHeight="1" x14ac:dyDescent="0.15">
      <c r="A725" s="58">
        <f>'HAULING RATES- ODOT Locations'!$E$196</f>
        <v>0</v>
      </c>
      <c r="B725" s="58" t="str">
        <f>'HAULING RATES- ODOT Locations'!$A$196&amp;"LAU-Gravel"</f>
        <v>MeigsLAU-Gravel</v>
      </c>
    </row>
    <row r="726" spans="1:2" ht="12.75" customHeight="1" x14ac:dyDescent="0.15">
      <c r="A726" s="58">
        <f>'HAULING RATES- ODOT Locations'!$E$197</f>
        <v>0</v>
      </c>
      <c r="B726" s="58" t="str">
        <f>'HAULING RATES- ODOT Locations'!$A$197&amp;"-Gravel"</f>
        <v>Meigs-Gravel</v>
      </c>
    </row>
    <row r="727" spans="1:2" ht="12.75" customHeight="1" x14ac:dyDescent="0.15">
      <c r="A727" s="58">
        <f>'HAULING RATES- ODOT Locations'!$E$199</f>
        <v>0</v>
      </c>
      <c r="B727" s="58" t="str">
        <f>'HAULING RATES- ODOT Locations'!$A$199&amp;"WOO-Gravel"</f>
        <v>MonroeWOO-Gravel</v>
      </c>
    </row>
    <row r="728" spans="1:2" ht="12.75" customHeight="1" x14ac:dyDescent="0.15">
      <c r="A728" s="58" t="e">
        <f>'HAULING RATES- ODOT Locations'!#REF!</f>
        <v>#REF!</v>
      </c>
      <c r="B728" s="58" t="e">
        <f>'HAULING RATES- ODOT Locations'!#REF!&amp;"HAN-Gravel"</f>
        <v>#REF!</v>
      </c>
    </row>
    <row r="729" spans="1:2" ht="12.75" customHeight="1" x14ac:dyDescent="0.15">
      <c r="A729" s="58">
        <f>'HAULING RATES- ODOT Locations'!$E$200</f>
        <v>0</v>
      </c>
      <c r="B729" s="58" t="str">
        <f>'HAULING RATES- ODOT Locations'!$A$200&amp;"MCC-Gravel"</f>
        <v>MorganMCC-Gravel</v>
      </c>
    </row>
    <row r="730" spans="1:2" ht="12.75" customHeight="1" x14ac:dyDescent="0.15">
      <c r="A730" s="58" t="e">
        <f>'HAULING RATES- ODOT Locations'!#REF!</f>
        <v>#REF!</v>
      </c>
      <c r="B730" s="58" t="e">
        <f>'HAULING RATES- ODOT Locations'!#REF!&amp;"CAL-Gravel"</f>
        <v>#REF!</v>
      </c>
    </row>
    <row r="731" spans="1:2" ht="12.75" customHeight="1" x14ac:dyDescent="0.15">
      <c r="A731" s="58" t="e">
        <f>'HAULING RATES- ODOT Locations'!#REF!</f>
        <v>#REF!</v>
      </c>
      <c r="B731" s="58" t="e">
        <f>'HAULING RATES- ODOT Locations'!#REF!&amp;"BVA-Gravel"</f>
        <v>#REF!</v>
      </c>
    </row>
    <row r="732" spans="1:2" ht="12.75" customHeight="1" x14ac:dyDescent="0.15">
      <c r="A732" s="58">
        <f>'HAULING RATES- ODOT Locations'!$E$203</f>
        <v>0</v>
      </c>
      <c r="B732" s="58" t="str">
        <f>'HAULING RATES- ODOT Locations'!$A$203&amp;"HAM-Gravel"</f>
        <v>VintonHAM-Gravel</v>
      </c>
    </row>
    <row r="733" spans="1:2" ht="12.75" customHeight="1" x14ac:dyDescent="0.15">
      <c r="A733" s="58" t="e">
        <f>'HAULING RATES- ODOT Locations'!#REF!</f>
        <v>#REF!</v>
      </c>
      <c r="B733" s="58" t="e">
        <f>'HAULING RATES- ODOT Locations'!#REF!&amp;"WIL-Gravel"</f>
        <v>#REF!</v>
      </c>
    </row>
    <row r="734" spans="1:2" ht="12.75" customHeight="1" x14ac:dyDescent="0.15">
      <c r="A734" s="58">
        <f>'HAULING RATES- ODOT Locations'!$E$205</f>
        <v>0</v>
      </c>
      <c r="B734" s="58" t="str">
        <f>'HAULING RATES- ODOT Locations'!$A$205&amp;"MAR-Gravel"</f>
        <v>WashingtonMAR-Gravel</v>
      </c>
    </row>
    <row r="735" spans="1:2" ht="12.75" customHeight="1" x14ac:dyDescent="0.15">
      <c r="A735" s="58">
        <f>'HAULING RATES- ODOT Locations'!$E$206</f>
        <v>0</v>
      </c>
      <c r="B735" s="58" t="str">
        <f>'HAULING RATES- ODOT Locations'!$A$206&amp;"BAR-Gravel"</f>
        <v>WashingtonBAR-Gravel</v>
      </c>
    </row>
    <row r="736" spans="1:2" ht="12.75" customHeight="1" x14ac:dyDescent="0.15">
      <c r="A736" s="58">
        <f>'HAULING RATES- ODOT Locations'!$E$207</f>
        <v>0</v>
      </c>
      <c r="B736" s="58" t="str">
        <f>'HAULING RATES- ODOT Locations'!$A$207&amp;"BEL-Gravel"</f>
        <v>WashingtonBEL-Gravel</v>
      </c>
    </row>
    <row r="737" spans="1:2" ht="12.75" customHeight="1" x14ac:dyDescent="0.15">
      <c r="A737" s="58" t="e">
        <f>'HAULING RATES- ODOT Locations'!#REF!</f>
        <v>#REF!</v>
      </c>
      <c r="B737" s="58" t="e">
        <f>'HAULING RATES- ODOT Locations'!#REF!&amp;"MAC-Gravel"</f>
        <v>#REF!</v>
      </c>
    </row>
    <row r="738" spans="1:2" ht="12.75" customHeight="1" x14ac:dyDescent="0.15">
      <c r="A738" s="58">
        <f>'HAULING RATES- ODOT Locations'!$E$212</f>
        <v>0</v>
      </c>
      <c r="B738" s="58" t="str">
        <f>'HAULING RATES- ODOT Locations'!$A$212&amp;"BEL-Gravel"</f>
        <v>BelmontBEL-Gravel</v>
      </c>
    </row>
    <row r="739" spans="1:2" ht="12.75" customHeight="1" x14ac:dyDescent="0.15">
      <c r="A739" s="58">
        <f>'HAULING RATES- ODOT Locations'!$E$213</f>
        <v>0</v>
      </c>
      <c r="B739" s="58" t="str">
        <f>'HAULING RATES- ODOT Locations'!$A$213&amp;"STC-Gravel"</f>
        <v>BelmontSTC-Gravel</v>
      </c>
    </row>
    <row r="740" spans="1:2" ht="12.75" customHeight="1" x14ac:dyDescent="0.15">
      <c r="A740" s="58">
        <f>'HAULING RATES- ODOT Locations'!$E$214</f>
        <v>0</v>
      </c>
      <c r="B740" s="58" t="str">
        <f>'HAULING RATES- ODOT Locations'!$A$214&amp;"BAR-Gravel"</f>
        <v>BelmontBAR-Gravel</v>
      </c>
    </row>
    <row r="741" spans="1:2" ht="12.75" customHeight="1" x14ac:dyDescent="0.15">
      <c r="A741" s="58">
        <f>'HAULING RATES- ODOT Locations'!$E$215</f>
        <v>0</v>
      </c>
      <c r="B741" s="58" t="str">
        <f>'HAULING RATES- ODOT Locations'!$A$215&amp;"SHD-Gravel"</f>
        <v>BelmontSHD-Gravel</v>
      </c>
    </row>
    <row r="742" spans="1:2" ht="12.75" customHeight="1" x14ac:dyDescent="0.15">
      <c r="A742" s="58">
        <f>'HAULING RATES- ODOT Locations'!$E$216</f>
        <v>0</v>
      </c>
      <c r="B742" s="58" t="str">
        <f>'HAULING RATES- ODOT Locations'!$A$216&amp;"-Gravel"</f>
        <v>Carroll-Gravel</v>
      </c>
    </row>
    <row r="743" spans="1:2" ht="12.75" customHeight="1" x14ac:dyDescent="0.15">
      <c r="A743" s="58">
        <f>'HAULING RATES- ODOT Locations'!$E$217</f>
        <v>0</v>
      </c>
      <c r="B743" s="58" t="str">
        <f>'HAULING RATES- ODOT Locations'!$A$217&amp;"LIS-Gravel"</f>
        <v>ColumbianaLIS-Gravel</v>
      </c>
    </row>
    <row r="744" spans="1:2" ht="12.75" customHeight="1" x14ac:dyDescent="0.15">
      <c r="A744" s="58">
        <f>'HAULING RATES- ODOT Locations'!$E$218</f>
        <v>0</v>
      </c>
      <c r="B744" s="58" t="str">
        <f>'HAULING RATES- ODOT Locations'!$A$218&amp;"ELI-Gravel"</f>
        <v>ColumbianaELI-Gravel</v>
      </c>
    </row>
    <row r="745" spans="1:2" ht="12.75" customHeight="1" x14ac:dyDescent="0.15">
      <c r="A745" s="58">
        <f>'HAULING RATES- ODOT Locations'!$E$219</f>
        <v>0</v>
      </c>
      <c r="B745" s="58" t="str">
        <f>'HAULING RATES- ODOT Locations'!$A$219&amp;"EPA-Gravel"</f>
        <v>ColumbianaEPA-Gravel</v>
      </c>
    </row>
    <row r="746" spans="1:2" ht="12.75" customHeight="1" x14ac:dyDescent="0.15">
      <c r="A746" s="58">
        <f>'HAULING RATES- ODOT Locations'!$E$220</f>
        <v>0</v>
      </c>
      <c r="B746" s="58" t="str">
        <f>'HAULING RATES- ODOT Locations'!$A$220&amp;"CAD-Gravel"</f>
        <v>HarrisonCAD-Gravel</v>
      </c>
    </row>
    <row r="747" spans="1:2" ht="12.75" customHeight="1" x14ac:dyDescent="0.15">
      <c r="A747" s="58">
        <f>'HAULING RATES- ODOT Locations'!$E$222</f>
        <v>0</v>
      </c>
      <c r="B747" s="58" t="str">
        <f>'HAULING RATES- ODOT Locations'!$A$222&amp;"FRE-Gravel"</f>
        <v>HarrisonFRE-Gravel</v>
      </c>
    </row>
    <row r="748" spans="1:2" ht="12.75" customHeight="1" x14ac:dyDescent="0.15">
      <c r="A748" s="58" t="e">
        <f>'HAULING RATES- ODOT Locations'!#REF!</f>
        <v>#REF!</v>
      </c>
      <c r="B748" s="58" t="e">
        <f>'HAULING RATES- ODOT Locations'!#REF!&amp;"MIL-Gravel"</f>
        <v>#REF!</v>
      </c>
    </row>
    <row r="749" spans="1:2" ht="12.75" customHeight="1" x14ac:dyDescent="0.15">
      <c r="A749" s="58">
        <f>'HAULING RATES- ODOT Locations'!$E$224</f>
        <v>0</v>
      </c>
      <c r="B749" s="58" t="str">
        <f>'HAULING RATES- ODOT Locations'!$A$224&amp;"NAS-Gravel"</f>
        <v>HolmesNAS-Gravel</v>
      </c>
    </row>
    <row r="750" spans="1:2" ht="12.75" customHeight="1" x14ac:dyDescent="0.15">
      <c r="A750" s="58" t="e">
        <f>'HAULING RATES- ODOT Locations'!#REF!</f>
        <v>#REF!</v>
      </c>
      <c r="B750" s="58" t="e">
        <f>'HAULING RATES- ODOT Locations'!#REF!&amp;"WIN-Gravel"</f>
        <v>#REF!</v>
      </c>
    </row>
    <row r="751" spans="1:2" ht="12.75" customHeight="1" x14ac:dyDescent="0.15">
      <c r="A751" s="58" t="e">
        <f>'HAULING RATES- ODOT Locations'!#REF!</f>
        <v>#REF!</v>
      </c>
      <c r="B751" s="58" t="e">
        <f>'HAULING RATES- ODOT Locations'!#REF!&amp;"STE-Gravel"</f>
        <v>#REF!</v>
      </c>
    </row>
    <row r="752" spans="1:2" ht="12.75" customHeight="1" x14ac:dyDescent="0.15">
      <c r="A752" s="58" t="e">
        <f>'HAULING RATES- ODOT Locations'!#REF!</f>
        <v>#REF!</v>
      </c>
      <c r="B752" s="58" t="e">
        <f>'HAULING RATES- ODOT Locations'!#REF!&amp;"DIL-Gravel"</f>
        <v>#REF!</v>
      </c>
    </row>
    <row r="753" spans="1:2" ht="12.75" customHeight="1" x14ac:dyDescent="0.15">
      <c r="A753" s="58" t="e">
        <f>'HAULING RATES- ODOT Locations'!#REF!</f>
        <v>#REF!</v>
      </c>
      <c r="B753" s="58" t="e">
        <f>'HAULING RATES- ODOT Locations'!#REF!&amp;"BER-Gravel"</f>
        <v>#REF!</v>
      </c>
    </row>
    <row r="754" spans="1:2" ht="12.75" customHeight="1" x14ac:dyDescent="0.15">
      <c r="A754" s="58">
        <f>'HAULING RATES- ODOT Locations'!$E$229</f>
        <v>0</v>
      </c>
      <c r="B754" s="58" t="str">
        <f>'HAULING RATES- ODOT Locations'!$A$229&amp;"NPH-Gravel"</f>
        <v>TuscarawasNPH-Gravel</v>
      </c>
    </row>
    <row r="755" spans="1:2" ht="12.75" customHeight="1" x14ac:dyDescent="0.15">
      <c r="A755" s="58" t="e">
        <f>'HAULING RATES- ODOT Locations'!#REF!</f>
        <v>#REF!</v>
      </c>
      <c r="B755" s="58" t="e">
        <f>'HAULING RATES- ODOT Locations'!#REF!&amp;"BOL-Gravel"</f>
        <v>#REF!</v>
      </c>
    </row>
    <row r="756" spans="1:2" ht="12.75" customHeight="1" x14ac:dyDescent="0.15">
      <c r="A756" s="58">
        <f>'HAULING RATES- ODOT Locations'!$E$231</f>
        <v>0</v>
      </c>
      <c r="B756" s="58" t="str">
        <f>'HAULING RATES- ODOT Locations'!$A$231&amp;"NEW-Gravel"</f>
        <v>TuscarawasNEW-Gravel</v>
      </c>
    </row>
    <row r="757" spans="1:2" ht="12.75" customHeight="1" x14ac:dyDescent="0.15">
      <c r="A757" s="58">
        <f>'HAULING RATES- ODOT Locations'!$E$232</f>
        <v>0</v>
      </c>
      <c r="B757" s="58" t="str">
        <f>'HAULING RATES- ODOT Locations'!$A$232&amp;"DEN-Gravel"</f>
        <v>TuscarawasDEN-Gravel</v>
      </c>
    </row>
    <row r="758" spans="1:2" ht="12.75" customHeight="1" x14ac:dyDescent="0.15">
      <c r="A758" s="58">
        <f>'HAULING RATES- ODOT Locations'!$E$236</f>
        <v>0</v>
      </c>
      <c r="B758" s="58" t="str">
        <f>'HAULING RATES- ODOT Locations'!$A$236&amp;"CLE-Gravel"</f>
        <v>CuyahogaCLE-Gravel</v>
      </c>
    </row>
    <row r="759" spans="1:2" ht="12.75" customHeight="1" x14ac:dyDescent="0.15">
      <c r="A759" s="58">
        <f>'HAULING RATES- ODOT Locations'!$E$237</f>
        <v>0</v>
      </c>
      <c r="B759" s="58" t="str">
        <f>'HAULING RATES- ODOT Locations'!$A$237&amp;"IND-Gravel"</f>
        <v>CuyahogaIND-Gravel</v>
      </c>
    </row>
    <row r="760" spans="1:2" ht="12.75" customHeight="1" x14ac:dyDescent="0.15">
      <c r="A760" s="58" t="e">
        <f>'HAULING RATES- ODOT Locations'!#REF!</f>
        <v>#REF!</v>
      </c>
      <c r="B760" s="58" t="e">
        <f>'HAULING RATES- ODOT Locations'!#REF!&amp;"MAV-Gravel"</f>
        <v>#REF!</v>
      </c>
    </row>
    <row r="761" spans="1:2" ht="12.75" customHeight="1" x14ac:dyDescent="0.15">
      <c r="A761" s="58">
        <f>'HAULING RATES- ODOT Locations'!$E$240</f>
        <v>0</v>
      </c>
      <c r="B761" s="58" t="str">
        <f>'HAULING RATES- ODOT Locations'!$A$240&amp;"GRC-Gravel"</f>
        <v>CuyahogaGRC-Gravel</v>
      </c>
    </row>
    <row r="762" spans="1:2" ht="12.75" customHeight="1" x14ac:dyDescent="0.15">
      <c r="A762" s="58">
        <f>'HAULING RATES- ODOT Locations'!$E$242</f>
        <v>0</v>
      </c>
      <c r="B762" s="58" t="str">
        <f>'HAULING RATES- ODOT Locations'!$A$242&amp;"WAR-Gravel"</f>
        <v>CuyahogaWAR-Gravel</v>
      </c>
    </row>
    <row r="763" spans="1:2" ht="12.75" customHeight="1" x14ac:dyDescent="0.15">
      <c r="A763" s="58">
        <f>'HAULING RATES- ODOT Locations'!$E$243</f>
        <v>0</v>
      </c>
      <c r="B763" s="58" t="str">
        <f>'HAULING RATES- ODOT Locations'!$A$243&amp;"BUR-Gravel"</f>
        <v>GeaugaBUR-Gravel</v>
      </c>
    </row>
    <row r="764" spans="1:2" ht="12.75" customHeight="1" x14ac:dyDescent="0.15">
      <c r="A764" s="58">
        <f>'HAULING RATES- ODOT Locations'!$E$244</f>
        <v>0</v>
      </c>
      <c r="B764" s="58" t="str">
        <f>'HAULING RATES- ODOT Locations'!$A$244&amp;"MTW-Gravel"</f>
        <v>GeaugaMTW-Gravel</v>
      </c>
    </row>
    <row r="765" spans="1:2" ht="12.75" customHeight="1" x14ac:dyDescent="0.15">
      <c r="A765" s="58">
        <f>'HAULING RATES- ODOT Locations'!$E$245</f>
        <v>0</v>
      </c>
      <c r="B765" s="58" t="str">
        <f>'HAULING RATES- ODOT Locations'!$A$245&amp;"MUN-Gravel"</f>
        <v>GeaugaMUN-Gravel</v>
      </c>
    </row>
    <row r="766" spans="1:2" ht="12.75" customHeight="1" x14ac:dyDescent="0.15">
      <c r="A766" s="58">
        <f>'HAULING RATES- ODOT Locations'!$E$246</f>
        <v>0</v>
      </c>
      <c r="B766" s="58" t="str">
        <f>'HAULING RATES- ODOT Locations'!$A$246&amp;"PAR-Gravel"</f>
        <v>GeaugaPAR-Gravel</v>
      </c>
    </row>
    <row r="767" spans="1:2" ht="12.75" customHeight="1" x14ac:dyDescent="0.15">
      <c r="A767" s="58">
        <f>'HAULING RATES- ODOT Locations'!$E$247</f>
        <v>0</v>
      </c>
      <c r="B767" s="58" t="str">
        <f>'HAULING RATES- ODOT Locations'!$A$247&amp;"PAI-Gravel"</f>
        <v>LakePAI-Gravel</v>
      </c>
    </row>
    <row r="768" spans="1:2" ht="12.75" customHeight="1" x14ac:dyDescent="0.15">
      <c r="A768" s="58">
        <f>'HAULING RATES- ODOT Locations'!$E$248</f>
        <v>0</v>
      </c>
      <c r="B768" s="58" t="str">
        <f>'HAULING RATES- ODOT Locations'!$A$248&amp;"MAD-Gravel"</f>
        <v>LakeMAD-Gravel</v>
      </c>
    </row>
    <row r="769" spans="1:6" ht="12.75" customHeight="1" x14ac:dyDescent="0.15">
      <c r="A769" s="60">
        <f>'HAULING RATES- ODOT Locations'!$E$250</f>
        <v>0</v>
      </c>
      <c r="B769" s="60" t="str">
        <f>'HAULING RATES- ODOT Locations'!$A$250&amp;"LER-Gravel"</f>
        <v>LakeLER-Gravel</v>
      </c>
      <c r="C769" s="59"/>
      <c r="D769" s="59"/>
      <c r="E769" s="59"/>
      <c r="F769" s="59"/>
    </row>
    <row r="770" spans="1:6" ht="12.75" customHeight="1" x14ac:dyDescent="0.15">
      <c r="A770" s="58" t="e">
        <f>'HAULING RATES- ODOT Locations'!#REF!</f>
        <v>#REF!</v>
      </c>
      <c r="B770" s="58" t="e">
        <f>'HAULING RATES- ODOT Locations'!#REF!&amp;"-Sand"</f>
        <v>#REF!</v>
      </c>
    </row>
    <row r="771" spans="1:6" ht="12.75" customHeight="1" x14ac:dyDescent="0.15">
      <c r="A771" s="58">
        <f>'HAULING RATES- ODOT Locations'!$F$10</f>
        <v>0</v>
      </c>
      <c r="B771" s="58" t="str">
        <f>'HAULING RATES- ODOT Locations'!$A$10&amp;"-Sand"</f>
        <v>Defiance-Sand</v>
      </c>
    </row>
    <row r="772" spans="1:6" ht="12.75" customHeight="1" x14ac:dyDescent="0.15">
      <c r="A772" s="58">
        <f>'HAULING RATES- ODOT Locations'!$F$11</f>
        <v>0</v>
      </c>
      <c r="B772" s="58" t="str">
        <f>'HAULING RATES- ODOT Locations'!$A$11&amp;"-Sand"</f>
        <v>Hancock-Sand</v>
      </c>
    </row>
    <row r="773" spans="1:6" ht="12.75" customHeight="1" x14ac:dyDescent="0.15">
      <c r="A773" s="58">
        <f>'HAULING RATES- ODOT Locations'!$F$12</f>
        <v>0</v>
      </c>
      <c r="B773" s="58" t="str">
        <f>'HAULING RATES- ODOT Locations'!$A$12&amp;"-Sand"</f>
        <v>Hardin-Sand</v>
      </c>
    </row>
    <row r="774" spans="1:6" ht="12.75" customHeight="1" x14ac:dyDescent="0.15">
      <c r="A774" s="58">
        <f>'HAULING RATES- ODOT Locations'!$F$13</f>
        <v>0</v>
      </c>
      <c r="B774" s="58" t="str">
        <f>'HAULING RATES- ODOT Locations'!$A$13&amp;"-Sand"</f>
        <v>Paulding-Sand</v>
      </c>
    </row>
    <row r="775" spans="1:6" ht="12.75" customHeight="1" x14ac:dyDescent="0.15">
      <c r="A775" s="58" t="e">
        <f>'HAULING RATES- ODOT Locations'!#REF!</f>
        <v>#REF!</v>
      </c>
      <c r="B775" s="58" t="e">
        <f>'HAULING RATES- ODOT Locations'!#REF!&amp;"-Sand"</f>
        <v>#REF!</v>
      </c>
    </row>
    <row r="776" spans="1:6" ht="12.75" customHeight="1" x14ac:dyDescent="0.15">
      <c r="A776" s="58">
        <f>'HAULING RATES- ODOT Locations'!$F$15</f>
        <v>0</v>
      </c>
      <c r="B776" s="58" t="str">
        <f>'HAULING RATES- ODOT Locations'!$A$15&amp;"-Sand"</f>
        <v>Van Wert-Sand</v>
      </c>
    </row>
    <row r="777" spans="1:6" ht="12.75" customHeight="1" x14ac:dyDescent="0.15">
      <c r="A777" s="58" t="e">
        <f>'HAULING RATES- ODOT Locations'!#REF!</f>
        <v>#REF!</v>
      </c>
      <c r="B777" s="58" t="e">
        <f>'HAULING RATES- ODOT Locations'!#REF!&amp;"-Sand"</f>
        <v>#REF!</v>
      </c>
    </row>
    <row r="778" spans="1:6" ht="12.75" customHeight="1" x14ac:dyDescent="0.15">
      <c r="A778" s="58">
        <f>'HAULING RATES- ODOT Locations'!$F$20</f>
        <v>0</v>
      </c>
      <c r="B778" s="58" t="str">
        <f>'HAULING RATES- ODOT Locations'!$A$20&amp;"-Sand"</f>
        <v>Fulton-Sand</v>
      </c>
    </row>
    <row r="779" spans="1:6" ht="12.75" customHeight="1" x14ac:dyDescent="0.15">
      <c r="A779" s="58" t="e">
        <f>'HAULING RATES- ODOT Locations'!#REF!</f>
        <v>#REF!</v>
      </c>
      <c r="B779" s="58" t="e">
        <f>'HAULING RATES- ODOT Locations'!#REF!&amp;"-Sand"</f>
        <v>#REF!</v>
      </c>
    </row>
    <row r="780" spans="1:6" ht="12.75" customHeight="1" x14ac:dyDescent="0.15">
      <c r="A780" s="58" t="e">
        <f>'HAULING RATES- ODOT Locations'!#REF!</f>
        <v>#REF!</v>
      </c>
      <c r="B780" s="58" t="e">
        <f>'HAULING RATES- ODOT Locations'!#REF!&amp;"-Sand"</f>
        <v>#REF!</v>
      </c>
    </row>
    <row r="781" spans="1:6" ht="12.75" customHeight="1" x14ac:dyDescent="0.15">
      <c r="A781" s="58">
        <f>'HAULING RATES- ODOT Locations'!$F$23</f>
        <v>0</v>
      </c>
      <c r="B781" s="58" t="str">
        <f>'HAULING RATES- ODOT Locations'!$A$23&amp;"OAK-Sand"</f>
        <v>OttawaOAK-Sand</v>
      </c>
    </row>
    <row r="782" spans="1:6" ht="12.75" customHeight="1" x14ac:dyDescent="0.15">
      <c r="A782" s="58">
        <f>'HAULING RATES- ODOT Locations'!$F$24</f>
        <v>0</v>
      </c>
      <c r="B782" s="58" t="str">
        <f>'HAULING RATES- ODOT Locations'!$A$24&amp;"CLI-Sand"</f>
        <v>OttawaCLI-Sand</v>
      </c>
    </row>
    <row r="783" spans="1:6" ht="12.75" customHeight="1" x14ac:dyDescent="0.15">
      <c r="A783" s="58" t="e">
        <f>'HAULING RATES- ODOT Locations'!#REF!</f>
        <v>#REF!</v>
      </c>
      <c r="B783" s="58" t="e">
        <f>'HAULING RATES- ODOT Locations'!#REF!&amp;"-Sand"</f>
        <v>#REF!</v>
      </c>
    </row>
    <row r="784" spans="1:6" ht="12.75" customHeight="1" x14ac:dyDescent="0.15">
      <c r="A784" s="58">
        <f>'HAULING RATES- ODOT Locations'!$F$26</f>
        <v>0</v>
      </c>
      <c r="B784" s="58" t="str">
        <f>'HAULING RATES- ODOT Locations'!$A$26&amp;"-Sand"</f>
        <v>Seneca-Sand</v>
      </c>
    </row>
    <row r="785" spans="1:2" ht="12.75" customHeight="1" x14ac:dyDescent="0.15">
      <c r="A785" s="58">
        <f>'HAULING RATES- ODOT Locations'!$F$27</f>
        <v>0</v>
      </c>
      <c r="B785" s="58" t="str">
        <f>'HAULING RATES- ODOT Locations'!$A$27&amp;"-Sand"</f>
        <v>Williams-Sand</v>
      </c>
    </row>
    <row r="786" spans="1:2" ht="12.75" customHeight="1" x14ac:dyDescent="0.15">
      <c r="A786" s="58" t="e">
        <f>'HAULING RATES- ODOT Locations'!#REF!</f>
        <v>#REF!</v>
      </c>
      <c r="B786" s="58" t="e">
        <f>'HAULING RATES- ODOT Locations'!#REF!&amp;"BG-Sand"</f>
        <v>#REF!</v>
      </c>
    </row>
    <row r="787" spans="1:2" ht="12.75" customHeight="1" x14ac:dyDescent="0.15">
      <c r="A787" s="58">
        <f>'HAULING RATES- ODOT Locations'!$F$30</f>
        <v>0</v>
      </c>
      <c r="B787" s="58" t="str">
        <f>'HAULING RATES- ODOT Locations'!$A$30&amp;"NW-Sand"</f>
        <v>WoodNW-Sand</v>
      </c>
    </row>
    <row r="788" spans="1:2" ht="12.75" customHeight="1" x14ac:dyDescent="0.15">
      <c r="A788" s="58">
        <f>'HAULING RATES- ODOT Locations'!$F$34</f>
        <v>0</v>
      </c>
      <c r="B788" s="58" t="str">
        <f>'HAULING RATES- ODOT Locations'!$A$34&amp;"-Sand"</f>
        <v>Ashland-Sand</v>
      </c>
    </row>
    <row r="789" spans="1:2" ht="12.75" customHeight="1" x14ac:dyDescent="0.15">
      <c r="A789" s="58" t="e">
        <f>'HAULING RATES- ODOT Locations'!#REF!</f>
        <v>#REF!</v>
      </c>
      <c r="B789" s="58" t="e">
        <f>'HAULING RATES- ODOT Locations'!#REF!&amp;"-Sand"</f>
        <v>#REF!</v>
      </c>
    </row>
    <row r="790" spans="1:2" ht="12.75" customHeight="1" x14ac:dyDescent="0.15">
      <c r="A790" s="58">
        <f>'HAULING RATES- ODOT Locations'!$F$37</f>
        <v>0</v>
      </c>
      <c r="B790" s="58" t="str">
        <f>'HAULING RATES- ODOT Locations'!$A$37&amp;"MIL-Sand"</f>
        <v>ErieMIL-Sand</v>
      </c>
    </row>
    <row r="791" spans="1:2" ht="12.75" customHeight="1" x14ac:dyDescent="0.15">
      <c r="A791" s="58">
        <f>'HAULING RATES- ODOT Locations'!$F$38</f>
        <v>0</v>
      </c>
      <c r="B791" s="58" t="str">
        <f>'HAULING RATES- ODOT Locations'!$A$38&amp;"VER-Sand"</f>
        <v>ErieVER-Sand</v>
      </c>
    </row>
    <row r="792" spans="1:2" ht="12.75" customHeight="1" x14ac:dyDescent="0.15">
      <c r="A792" s="58">
        <f>'HAULING RATES- ODOT Locations'!$F$39</f>
        <v>0</v>
      </c>
      <c r="B792" s="58" t="str">
        <f>'HAULING RATES- ODOT Locations'!$A$39&amp;"-Sand"</f>
        <v>Huron-Sand</v>
      </c>
    </row>
    <row r="793" spans="1:2" ht="12.75" customHeight="1" x14ac:dyDescent="0.15">
      <c r="A793" s="58">
        <f>'HAULING RATES- ODOT Locations'!$F$41</f>
        <v>0</v>
      </c>
      <c r="B793" s="58" t="str">
        <f>'HAULING RATES- ODOT Locations'!$A$41&amp;"OBE-Sand"</f>
        <v>LorainOBE-Sand</v>
      </c>
    </row>
    <row r="794" spans="1:2" ht="12.75" customHeight="1" x14ac:dyDescent="0.15">
      <c r="A794" s="58">
        <f>'HAULING RATES- ODOT Locations'!$F$42</f>
        <v>0</v>
      </c>
      <c r="B794" s="58" t="str">
        <f>'HAULING RATES- ODOT Locations'!$A$42&amp;"AVO-Sand"</f>
        <v>LorainAVO-Sand</v>
      </c>
    </row>
    <row r="795" spans="1:2" ht="12.75" customHeight="1" x14ac:dyDescent="0.15">
      <c r="A795" s="58">
        <f>'HAULING RATES- ODOT Locations'!$F$44</f>
        <v>0</v>
      </c>
      <c r="B795" s="58" t="str">
        <f>'HAULING RATES- ODOT Locations'!$A$44&amp;"MED-Sand"</f>
        <v>MedinaMED-Sand</v>
      </c>
    </row>
    <row r="796" spans="1:2" ht="12.75" customHeight="1" x14ac:dyDescent="0.15">
      <c r="A796" s="58">
        <f>'HAULING RATES- ODOT Locations'!$F$45</f>
        <v>0</v>
      </c>
      <c r="B796" s="58" t="str">
        <f>'HAULING RATES- ODOT Locations'!$A$45&amp;"BUR-Sand"</f>
        <v>MedinaBUR-Sand</v>
      </c>
    </row>
    <row r="797" spans="1:2" ht="12.75" customHeight="1" x14ac:dyDescent="0.15">
      <c r="A797" s="58">
        <f>'HAULING RATES- ODOT Locations'!$F$47</f>
        <v>0</v>
      </c>
      <c r="B797" s="58" t="str">
        <f>'HAULING RATES- ODOT Locations'!$A$47&amp;"MAN-Sand"</f>
        <v>RichlandMAN-Sand</v>
      </c>
    </row>
    <row r="798" spans="1:2" ht="12.75" customHeight="1" x14ac:dyDescent="0.15">
      <c r="A798" s="58">
        <f>'HAULING RATES- ODOT Locations'!$F$48</f>
        <v>0</v>
      </c>
      <c r="B798" s="58" t="str">
        <f>'HAULING RATES- ODOT Locations'!$A$48&amp;"BEL-Sand"</f>
        <v>RichlandBEL-Sand</v>
      </c>
    </row>
    <row r="799" spans="1:2" ht="12.75" customHeight="1" x14ac:dyDescent="0.15">
      <c r="A799" s="58" t="e">
        <f>'HAULING RATES- ODOT Locations'!#REF!</f>
        <v>#REF!</v>
      </c>
      <c r="B799" s="58" t="e">
        <f>'HAULING RATES- ODOT Locations'!#REF!&amp;"-Sand"</f>
        <v>#REF!</v>
      </c>
    </row>
    <row r="800" spans="1:2" ht="12.75" customHeight="1" x14ac:dyDescent="0.15">
      <c r="A800" s="58">
        <f>'HAULING RATES- ODOT Locations'!$F$53</f>
        <v>0</v>
      </c>
      <c r="B800" s="58" t="str">
        <f>'HAULING RATES- ODOT Locations'!$A$53&amp;"ATB-Sand"</f>
        <v>AshtabulaATB-Sand</v>
      </c>
    </row>
    <row r="801" spans="1:2" ht="12.75" customHeight="1" x14ac:dyDescent="0.15">
      <c r="A801" s="58">
        <f>'HAULING RATES- ODOT Locations'!$F$54</f>
        <v>0</v>
      </c>
      <c r="B801" s="58" t="str">
        <f>'HAULING RATES- ODOT Locations'!$A$54&amp;"CON-Sand"</f>
        <v>AshtabulaCON-Sand</v>
      </c>
    </row>
    <row r="802" spans="1:2" ht="12.75" customHeight="1" x14ac:dyDescent="0.15">
      <c r="A802" s="58">
        <f>'HAULING RATES- ODOT Locations'!$F$55</f>
        <v>0</v>
      </c>
      <c r="B802" s="58" t="str">
        <f>'HAULING RATES- ODOT Locations'!$A$55&amp;"DOR-Sand"</f>
        <v>AshtabulaDOR-Sand</v>
      </c>
    </row>
    <row r="803" spans="1:2" ht="12.75" customHeight="1" x14ac:dyDescent="0.15">
      <c r="A803" s="58">
        <f>'HAULING RATES- ODOT Locations'!$F$56</f>
        <v>0</v>
      </c>
      <c r="B803" s="58" t="str">
        <f>'HAULING RATES- ODOT Locations'!$A$56&amp;"GEN-Sand"</f>
        <v>AshtabulaGEN-Sand</v>
      </c>
    </row>
    <row r="804" spans="1:2" ht="12.75" customHeight="1" x14ac:dyDescent="0.15">
      <c r="A804" s="58">
        <f>'HAULING RATES- ODOT Locations'!$F$57</f>
        <v>0</v>
      </c>
      <c r="B804" s="58" t="str">
        <f>'HAULING RATES- ODOT Locations'!$A$57&amp;"ROM-Sand"</f>
        <v>AshtabulaROM-Sand</v>
      </c>
    </row>
    <row r="805" spans="1:2" ht="12.75" customHeight="1" x14ac:dyDescent="0.15">
      <c r="A805" s="58">
        <f>'HAULING RATES- ODOT Locations'!$F$58</f>
        <v>0</v>
      </c>
      <c r="B805" s="58" t="str">
        <f>'HAULING RATES- ODOT Locations'!$A$58&amp;"WIL-Sand"</f>
        <v>AshtabulaWIL-Sand</v>
      </c>
    </row>
    <row r="806" spans="1:2" ht="12.75" customHeight="1" x14ac:dyDescent="0.15">
      <c r="A806" s="58">
        <f>'HAULING RATES- ODOT Locations'!$F$59</f>
        <v>0</v>
      </c>
      <c r="B806" s="58" t="str">
        <f>'HAULING RATES- ODOT Locations'!$A$59&amp;"CAN-Sand"</f>
        <v>MahoningCAN-Sand</v>
      </c>
    </row>
    <row r="807" spans="1:2" ht="12.75" customHeight="1" x14ac:dyDescent="0.15">
      <c r="A807" s="58">
        <f>'HAULING RATES- ODOT Locations'!$F$60</f>
        <v>0</v>
      </c>
      <c r="B807" s="58" t="str">
        <f>'HAULING RATES- ODOT Locations'!$A$60&amp;"NJ-Sand"</f>
        <v>MahoningNJ-Sand</v>
      </c>
    </row>
    <row r="808" spans="1:2" ht="12.75" customHeight="1" x14ac:dyDescent="0.15">
      <c r="A808" s="58">
        <f>'HAULING RATES- ODOT Locations'!$F$61</f>
        <v>0</v>
      </c>
      <c r="B808" s="58" t="str">
        <f>'HAULING RATES- ODOT Locations'!$A$61&amp;"NLI-Sand"</f>
        <v>MahoningNLI-Sand</v>
      </c>
    </row>
    <row r="809" spans="1:2" ht="12.75" customHeight="1" x14ac:dyDescent="0.15">
      <c r="A809" s="58" t="e">
        <f>'HAULING RATES- ODOT Locations'!#REF!</f>
        <v>#REF!</v>
      </c>
      <c r="B809" s="58" t="e">
        <f>'HAULING RATES- ODOT Locations'!#REF!&amp;"BEL-Sand"</f>
        <v>#REF!</v>
      </c>
    </row>
    <row r="810" spans="1:2" ht="12.75" customHeight="1" x14ac:dyDescent="0.15">
      <c r="A810" s="58">
        <f>'HAULING RATES- ODOT Locations'!$F$63</f>
        <v>0</v>
      </c>
      <c r="B810" s="58" t="str">
        <f>'HAULING RATES- ODOT Locations'!$A$63&amp;"YOU-Sand"</f>
        <v>MahoningYOU-Sand</v>
      </c>
    </row>
    <row r="811" spans="1:2" ht="12.75" customHeight="1" x14ac:dyDescent="0.15">
      <c r="A811" s="58">
        <f>'HAULING RATES- ODOT Locations'!$F$64</f>
        <v>0</v>
      </c>
      <c r="B811" s="58" t="str">
        <f>'HAULING RATES- ODOT Locations'!$A$64&amp;"WIN-Sand"</f>
        <v>PortageWIN-Sand</v>
      </c>
    </row>
    <row r="812" spans="1:2" ht="12.75" customHeight="1" x14ac:dyDescent="0.15">
      <c r="A812" s="58">
        <f>'HAULING RATES- ODOT Locations'!$F$65</f>
        <v>0</v>
      </c>
      <c r="B812" s="58" t="str">
        <f>'HAULING RATES- ODOT Locations'!$A$65&amp;"ROO-Sand"</f>
        <v>PortageROO-Sand</v>
      </c>
    </row>
    <row r="813" spans="1:2" ht="12.75" customHeight="1" x14ac:dyDescent="0.15">
      <c r="A813" s="58" t="e">
        <f>'HAULING RATES- ODOT Locations'!#REF!</f>
        <v>#REF!</v>
      </c>
      <c r="B813" s="58" t="e">
        <f>'HAULING RATES- ODOT Locations'!#REF!&amp;"DEE-Sand"</f>
        <v>#REF!</v>
      </c>
    </row>
    <row r="814" spans="1:2" ht="12.75" customHeight="1" x14ac:dyDescent="0.15">
      <c r="A814" s="58">
        <f>'HAULING RATES- ODOT Locations'!$F$67</f>
        <v>0</v>
      </c>
      <c r="B814" s="58" t="str">
        <f>'HAULING RATES- ODOT Locations'!$A$67&amp;"CAN-Sand"</f>
        <v>StarkCAN-Sand</v>
      </c>
    </row>
    <row r="815" spans="1:2" ht="12.75" customHeight="1" x14ac:dyDescent="0.15">
      <c r="A815" s="58">
        <f>'HAULING RATES- ODOT Locations'!$F$68</f>
        <v>0</v>
      </c>
      <c r="B815" s="58" t="str">
        <f>'HAULING RATES- ODOT Locations'!$A$68&amp;"MAS-Sand"</f>
        <v>StarkMAS-Sand</v>
      </c>
    </row>
    <row r="816" spans="1:2" ht="12.75" customHeight="1" x14ac:dyDescent="0.15">
      <c r="A816" s="58">
        <f>'HAULING RATES- ODOT Locations'!$F$70</f>
        <v>0</v>
      </c>
      <c r="B816" s="58" t="str">
        <f>'HAULING RATES- ODOT Locations'!$A$70&amp;"HUD-Sand"</f>
        <v>SummitHUD-Sand</v>
      </c>
    </row>
    <row r="817" spans="1:2" ht="12.75" customHeight="1" x14ac:dyDescent="0.15">
      <c r="A817" s="58">
        <f>'HAULING RATES- ODOT Locations'!$F$71</f>
        <v>0</v>
      </c>
      <c r="B817" s="58" t="str">
        <f>'HAULING RATES- ODOT Locations'!$A$71&amp;"TWI-Sand"</f>
        <v>SummitTWI-Sand</v>
      </c>
    </row>
    <row r="818" spans="1:2" ht="12.75" customHeight="1" x14ac:dyDescent="0.15">
      <c r="A818" s="58">
        <f>'HAULING RATES- ODOT Locations'!$F$72</f>
        <v>0</v>
      </c>
      <c r="B818" s="58" t="str">
        <f>'HAULING RATES- ODOT Locations'!$A$72&amp;"NOR-Sand"</f>
        <v>SummitNOR-Sand</v>
      </c>
    </row>
    <row r="819" spans="1:2" ht="12.75" customHeight="1" x14ac:dyDescent="0.15">
      <c r="A819" s="58">
        <f>'HAULING RATES- ODOT Locations'!$F$73</f>
        <v>0</v>
      </c>
      <c r="B819" s="58" t="str">
        <f>'HAULING RATES- ODOT Locations'!$A$73&amp;"CAN-Sand"</f>
        <v>SummitCAN-Sand</v>
      </c>
    </row>
    <row r="820" spans="1:2" ht="12.75" customHeight="1" x14ac:dyDescent="0.15">
      <c r="A820" s="58">
        <f>'HAULING RATES- ODOT Locations'!$F$74</f>
        <v>0</v>
      </c>
      <c r="B820" s="58" t="str">
        <f>'HAULING RATES- ODOT Locations'!$A$74&amp;"AKR-Sand"</f>
        <v>SummitAKR-Sand</v>
      </c>
    </row>
    <row r="821" spans="1:2" ht="12.75" customHeight="1" x14ac:dyDescent="0.15">
      <c r="A821" s="58">
        <f>'HAULING RATES- ODOT Locations'!$F$75</f>
        <v>0</v>
      </c>
      <c r="B821" s="58" t="str">
        <f>'HAULING RATES- ODOT Locations'!$A$75&amp;"HUB-Sand"</f>
        <v>TrumbullHUB-Sand</v>
      </c>
    </row>
    <row r="822" spans="1:2" ht="12.75" customHeight="1" x14ac:dyDescent="0.15">
      <c r="A822" s="58">
        <f>'HAULING RATES- ODOT Locations'!$F$76</f>
        <v>0</v>
      </c>
      <c r="B822" s="58" t="str">
        <f>'HAULING RATES- ODOT Locations'!$A$76&amp;"COR-Sand"</f>
        <v>TrumbullCOR-Sand</v>
      </c>
    </row>
    <row r="823" spans="1:2" ht="12.75" customHeight="1" x14ac:dyDescent="0.15">
      <c r="A823" s="58">
        <f>'HAULING RATES- ODOT Locations'!$F$77</f>
        <v>0</v>
      </c>
      <c r="B823" s="58" t="str">
        <f>'HAULING RATES- ODOT Locations'!$A$77&amp;"NB-Sand"</f>
        <v>TrumbullNB-Sand</v>
      </c>
    </row>
    <row r="824" spans="1:2" ht="12.75" customHeight="1" x14ac:dyDescent="0.15">
      <c r="A824" s="58">
        <f>'HAULING RATES- ODOT Locations'!$F$78</f>
        <v>0</v>
      </c>
      <c r="B824" s="58" t="str">
        <f>'HAULING RATES- ODOT Locations'!$A$78&amp;"FAR-Sand"</f>
        <v>TrumbullFAR-Sand</v>
      </c>
    </row>
    <row r="825" spans="1:2" ht="12.75" customHeight="1" x14ac:dyDescent="0.15">
      <c r="A825" s="58">
        <f>'HAULING RATES- ODOT Locations'!$F$79</f>
        <v>0</v>
      </c>
      <c r="B825" s="58" t="str">
        <f>'HAULING RATES- ODOT Locations'!$A$79&amp;"LEV-Sand"</f>
        <v>TrumbullLEV-Sand</v>
      </c>
    </row>
    <row r="826" spans="1:2" ht="12.75" customHeight="1" x14ac:dyDescent="0.15">
      <c r="A826" s="58">
        <f>'HAULING RATES- ODOT Locations'!$F$83</f>
        <v>0</v>
      </c>
      <c r="B826" s="58" t="str">
        <f>'HAULING RATES- ODOT Locations'!$A$83&amp;"COS-Sand"</f>
        <v>CoshoctonCOS-Sand</v>
      </c>
    </row>
    <row r="827" spans="1:2" ht="12.75" customHeight="1" x14ac:dyDescent="0.15">
      <c r="A827" s="58">
        <f>'HAULING RATES- ODOT Locations'!$F$84</f>
        <v>0</v>
      </c>
      <c r="B827" s="58" t="str">
        <f>'HAULING RATES- ODOT Locations'!$A$84&amp;"NC-Sand"</f>
        <v>CoshoctonNC-Sand</v>
      </c>
    </row>
    <row r="828" spans="1:2" ht="12.75" customHeight="1" x14ac:dyDescent="0.15">
      <c r="A828" s="58">
        <f>'HAULING RATES- ODOT Locations'!$F$85</f>
        <v>0</v>
      </c>
      <c r="B828" s="58" t="str">
        <f>'HAULING RATES- ODOT Locations'!$A$85&amp;"BAL-Sand"</f>
        <v>FairfieldBAL-Sand</v>
      </c>
    </row>
    <row r="829" spans="1:2" ht="12.75" customHeight="1" x14ac:dyDescent="0.15">
      <c r="A829" s="58" t="e">
        <f>'HAULING RATES- ODOT Locations'!#REF!</f>
        <v>#REF!</v>
      </c>
      <c r="B829" s="58" t="e">
        <f>'HAULING RATES- ODOT Locations'!#REF!&amp;"LAN-Sand"</f>
        <v>#REF!</v>
      </c>
    </row>
    <row r="830" spans="1:2" ht="12.75" customHeight="1" x14ac:dyDescent="0.15">
      <c r="A830" s="58">
        <f>'HAULING RATES- ODOT Locations'!$F$87</f>
        <v>0</v>
      </c>
      <c r="B830" s="58" t="str">
        <f>'HAULING RATES- ODOT Locations'!$A$87&amp;"RUS-Sand"</f>
        <v>FairfieldRUS-Sand</v>
      </c>
    </row>
    <row r="831" spans="1:2" ht="12.75" customHeight="1" x14ac:dyDescent="0.15">
      <c r="A831" s="58">
        <f>'HAULING RATES- ODOT Locations'!$F$88</f>
        <v>0</v>
      </c>
      <c r="B831" s="58" t="str">
        <f>'HAULING RATES- ODOT Locations'!$A$88&amp;"CAM-Sand"</f>
        <v>GuernseyCAM-Sand</v>
      </c>
    </row>
    <row r="832" spans="1:2" ht="12.75" customHeight="1" x14ac:dyDescent="0.15">
      <c r="A832" s="58">
        <f>'HAULING RATES- ODOT Locations'!$F$89</f>
        <v>0</v>
      </c>
      <c r="B832" s="58" t="str">
        <f>'HAULING RATES- ODOT Locations'!$A$89&amp;"KIM-Sand"</f>
        <v>GuernseyKIM-Sand</v>
      </c>
    </row>
    <row r="833" spans="1:2" ht="12.75" customHeight="1" x14ac:dyDescent="0.15">
      <c r="A833" s="58">
        <f>'HAULING RATES- ODOT Locations'!$F$90</f>
        <v>0</v>
      </c>
      <c r="B833" s="58" t="str">
        <f>'HAULING RATES- ODOT Locations'!$A$90&amp;"LCI-Sand"</f>
        <v>GuernseyLCI-Sand</v>
      </c>
    </row>
    <row r="834" spans="1:2" ht="12.75" customHeight="1" x14ac:dyDescent="0.15">
      <c r="A834" s="58">
        <f>'HAULING RATES- ODOT Locations'!$F$91</f>
        <v>0</v>
      </c>
      <c r="B834" s="58" t="str">
        <f>'HAULING RATES- ODOT Locations'!$A$91&amp;"MTV-Sand"</f>
        <v>KnoxMTV-Sand</v>
      </c>
    </row>
    <row r="835" spans="1:2" ht="12.75" customHeight="1" x14ac:dyDescent="0.15">
      <c r="A835" s="58" t="e">
        <f>'HAULING RATES- ODOT Locations'!#REF!</f>
        <v>#REF!</v>
      </c>
      <c r="B835" s="58" t="e">
        <f>'HAULING RATES- ODOT Locations'!#REF!&amp;"DAN-Sand"</f>
        <v>#REF!</v>
      </c>
    </row>
    <row r="836" spans="1:2" ht="12.75" customHeight="1" x14ac:dyDescent="0.15">
      <c r="A836" s="58">
        <f>'HAULING RATES- ODOT Locations'!$F$92</f>
        <v>0</v>
      </c>
      <c r="B836" s="58" t="str">
        <f>'HAULING RATES- ODOT Locations'!$A$92&amp;"FRE-Sand"</f>
        <v>KnoxFRE-Sand</v>
      </c>
    </row>
    <row r="837" spans="1:2" ht="12.75" customHeight="1" x14ac:dyDescent="0.15">
      <c r="A837" s="58">
        <f>'HAULING RATES- ODOT Locations'!$F$93</f>
        <v>0</v>
      </c>
      <c r="B837" s="58" t="str">
        <f>'HAULING RATES- ODOT Locations'!$A$93&amp;"JAC-Sand"</f>
        <v>LickingJAC-Sand</v>
      </c>
    </row>
    <row r="838" spans="1:2" ht="12.75" customHeight="1" x14ac:dyDescent="0.15">
      <c r="A838" s="58">
        <f>'HAULING RATES- ODOT Locations'!$F$94</f>
        <v>0</v>
      </c>
      <c r="B838" s="58" t="str">
        <f>'HAULING RATES- ODOT Locations'!$A$94&amp;"PAT-Sand"</f>
        <v>LickingPAT-Sand</v>
      </c>
    </row>
    <row r="839" spans="1:2" ht="12.75" customHeight="1" x14ac:dyDescent="0.15">
      <c r="A839" s="58">
        <f>'HAULING RATES- ODOT Locations'!$F$95</f>
        <v>0</v>
      </c>
      <c r="B839" s="58" t="str">
        <f>'HAULING RATES- ODOT Locations'!$A$95&amp;"UTI-Sand"</f>
        <v>LickingUTI-Sand</v>
      </c>
    </row>
    <row r="840" spans="1:2" ht="12.75" customHeight="1" x14ac:dyDescent="0.15">
      <c r="A840" s="58">
        <f>'HAULING RATES- ODOT Locations'!$F$96</f>
        <v>0</v>
      </c>
      <c r="B840" s="58" t="str">
        <f>'HAULING RATES- ODOT Locations'!$A$96&amp;"BRO-Sand"</f>
        <v>LickingBRO-Sand</v>
      </c>
    </row>
    <row r="841" spans="1:2" ht="12.75" customHeight="1" x14ac:dyDescent="0.15">
      <c r="A841" s="58">
        <f>'HAULING RATES- ODOT Locations'!$F$97</f>
        <v>0</v>
      </c>
      <c r="B841" s="58" t="str">
        <f>'HAULING RATES- ODOT Locations'!$A$97&amp;"NEW-Sand"</f>
        <v>LickingNEW-Sand</v>
      </c>
    </row>
    <row r="842" spans="1:2" ht="12.75" customHeight="1" x14ac:dyDescent="0.15">
      <c r="A842" s="58">
        <f>'HAULING RATES- ODOT Locations'!$F$98</f>
        <v>0</v>
      </c>
      <c r="B842" s="58" t="str">
        <f>'HAULING RATES- ODOT Locations'!$A$98&amp;"ZAN-Sand"</f>
        <v>MuskingumZAN-Sand</v>
      </c>
    </row>
    <row r="843" spans="1:2" ht="12.75" customHeight="1" x14ac:dyDescent="0.15">
      <c r="A843" s="58" t="e">
        <f>'HAULING RATES- ODOT Locations'!#REF!</f>
        <v>#REF!</v>
      </c>
      <c r="B843" s="58" t="e">
        <f>'HAULING RATES- ODOT Locations'!#REF!&amp;"DRE-Sand"</f>
        <v>#REF!</v>
      </c>
    </row>
    <row r="844" spans="1:2" ht="12.75" customHeight="1" x14ac:dyDescent="0.15">
      <c r="A844" s="58">
        <f>'HAULING RATES- ODOT Locations'!$F$100</f>
        <v>0</v>
      </c>
      <c r="B844" s="58" t="str">
        <f>'HAULING RATES- ODOT Locations'!$A$100&amp;"DUN-Sand"</f>
        <v>MuskingumDUN-Sand</v>
      </c>
    </row>
    <row r="845" spans="1:2" ht="12.75" customHeight="1" x14ac:dyDescent="0.15">
      <c r="A845" s="58">
        <f>'HAULING RATES- ODOT Locations'!$F$101</f>
        <v>0</v>
      </c>
      <c r="B845" s="58" t="str">
        <f>'HAULING RATES- ODOT Locations'!$A$101&amp;"MAY-Sand"</f>
        <v>MuskingumMAY-Sand</v>
      </c>
    </row>
    <row r="846" spans="1:2" ht="12.75" customHeight="1" x14ac:dyDescent="0.15">
      <c r="A846" s="58">
        <f>'HAULING RATES- ODOT Locations'!$F$102</f>
        <v>0</v>
      </c>
      <c r="B846" s="58" t="str">
        <f>'HAULING RATES- ODOT Locations'!$A$102&amp;"NLE-Sand"</f>
        <v>PerryNLE-Sand</v>
      </c>
    </row>
    <row r="847" spans="1:2" ht="12.75" customHeight="1" x14ac:dyDescent="0.15">
      <c r="A847" s="58">
        <f>'HAULING RATES- ODOT Locations'!$F$103</f>
        <v>0</v>
      </c>
      <c r="B847" s="58" t="str">
        <f>'HAULING RATES- ODOT Locations'!$A$103&amp;"SHA-Sand"</f>
        <v>PerrySHA-Sand</v>
      </c>
    </row>
    <row r="848" spans="1:2" ht="12.75" customHeight="1" x14ac:dyDescent="0.15">
      <c r="A848" s="58">
        <f>'HAULING RATES- ODOT Locations'!$F$107</f>
        <v>0</v>
      </c>
      <c r="B848" s="58" t="str">
        <f>'HAULING RATES- ODOT Locations'!$A$107&amp;"DEL-Sand"</f>
        <v>DelawareDEL-Sand</v>
      </c>
    </row>
    <row r="849" spans="1:2" ht="12.75" customHeight="1" x14ac:dyDescent="0.15">
      <c r="A849" s="58">
        <f>'HAULING RATES- ODOT Locations'!$F$108</f>
        <v>0</v>
      </c>
      <c r="B849" s="58" t="str">
        <f>'HAULING RATES- ODOT Locations'!$A$108&amp;"BER-Sand"</f>
        <v>DelawareBER-Sand</v>
      </c>
    </row>
    <row r="850" spans="1:2" ht="12.75" customHeight="1" x14ac:dyDescent="0.15">
      <c r="A850" s="58">
        <f>'HAULING RATES- ODOT Locations'!$F$109</f>
        <v>0</v>
      </c>
      <c r="B850" s="58" t="str">
        <f>'HAULING RATES- ODOT Locations'!$A$109&amp;"SUN-Sand"</f>
        <v>DelawareSUN-Sand</v>
      </c>
    </row>
    <row r="851" spans="1:2" ht="12.75" customHeight="1" x14ac:dyDescent="0.15">
      <c r="A851" s="58">
        <f>'HAULING RATES- ODOT Locations'!$F$110</f>
        <v>0</v>
      </c>
      <c r="B851" s="58" t="str">
        <f>'HAULING RATES- ODOT Locations'!$A$110&amp;"WAS-Sand"</f>
        <v>FayetteWAS-Sand</v>
      </c>
    </row>
    <row r="852" spans="1:2" ht="12.75" customHeight="1" x14ac:dyDescent="0.15">
      <c r="A852" s="58">
        <f>'HAULING RATES- ODOT Locations'!$F$111</f>
        <v>0</v>
      </c>
      <c r="B852" s="58" t="str">
        <f>'HAULING RATES- ODOT Locations'!$A$111&amp;"JEF-Sand"</f>
        <v>FayetteJEF-Sand</v>
      </c>
    </row>
    <row r="853" spans="1:2" ht="12.75" customHeight="1" x14ac:dyDescent="0.15">
      <c r="A853" s="58">
        <f>'HAULING RATES- ODOT Locations'!$F$112</f>
        <v>0</v>
      </c>
      <c r="B853" s="58" t="str">
        <f>'HAULING RATES- ODOT Locations'!$A$112&amp;"COL-Sand"</f>
        <v>FranklinCOL-Sand</v>
      </c>
    </row>
    <row r="854" spans="1:2" ht="12.75" customHeight="1" x14ac:dyDescent="0.15">
      <c r="A854" s="58">
        <f>'HAULING RATES- ODOT Locations'!$F$113</f>
        <v>0</v>
      </c>
      <c r="B854" s="58" t="str">
        <f>'HAULING RATES- ODOT Locations'!$A$113&amp;"GCI-Sand"</f>
        <v>FranklinGCI-Sand</v>
      </c>
    </row>
    <row r="855" spans="1:2" ht="12.75" customHeight="1" x14ac:dyDescent="0.15">
      <c r="A855" s="58" t="e">
        <f>'HAULING RATES- ODOT Locations'!#REF!</f>
        <v>#REF!</v>
      </c>
      <c r="B855" s="58" t="e">
        <f>'HAULING RATES- ODOT Locations'!#REF!&amp;"WOR-Sand"</f>
        <v>#REF!</v>
      </c>
    </row>
    <row r="856" spans="1:2" ht="12.75" customHeight="1" x14ac:dyDescent="0.15">
      <c r="A856" s="58">
        <f>'HAULING RATES- ODOT Locations'!$F$114</f>
        <v>0</v>
      </c>
      <c r="B856" s="58" t="str">
        <f>'HAULING RATES- ODOT Locations'!$A$114&amp;"WES-Sand"</f>
        <v>FranklinWES-Sand</v>
      </c>
    </row>
    <row r="857" spans="1:2" ht="12.75" customHeight="1" x14ac:dyDescent="0.15">
      <c r="A857" s="58">
        <f>'HAULING RATES- ODOT Locations'!$F$115</f>
        <v>0</v>
      </c>
      <c r="B857" s="58" t="str">
        <f>'HAULING RATES- ODOT Locations'!$A$115&amp;"HIL-Sand"</f>
        <v>FranklinHIL-Sand</v>
      </c>
    </row>
    <row r="858" spans="1:2" ht="12.75" customHeight="1" x14ac:dyDescent="0.15">
      <c r="A858" s="58" t="e">
        <f>'HAULING RATES- ODOT Locations'!#REF!</f>
        <v>#REF!</v>
      </c>
      <c r="B858" s="58" t="e">
        <f>'HAULING RATES- ODOT Locations'!#REF!&amp;"CWC-Sand"</f>
        <v>#REF!</v>
      </c>
    </row>
    <row r="859" spans="1:2" ht="12.75" customHeight="1" x14ac:dyDescent="0.15">
      <c r="A859" s="58" t="e">
        <f>'HAULING RATES- ODOT Locations'!#REF!</f>
        <v>#REF!</v>
      </c>
      <c r="B859" s="58" t="e">
        <f>'HAULING RATES- ODOT Locations'!#REF!&amp;"LON-Sand"</f>
        <v>#REF!</v>
      </c>
    </row>
    <row r="860" spans="1:2" ht="12.75" customHeight="1" x14ac:dyDescent="0.15">
      <c r="A860" s="58" t="e">
        <f>'HAULING RATES- ODOT Locations'!#REF!</f>
        <v>#REF!</v>
      </c>
      <c r="B860" s="58" t="e">
        <f>'HAULING RATES- ODOT Locations'!#REF!&amp;"MTS-Sand"</f>
        <v>#REF!</v>
      </c>
    </row>
    <row r="861" spans="1:2" ht="12.75" customHeight="1" x14ac:dyDescent="0.15">
      <c r="A861" s="58" t="e">
        <f>'HAULING RATES- ODOT Locations'!#REF!</f>
        <v>#REF!</v>
      </c>
      <c r="B861" s="58" t="e">
        <f>'HAULING RATES- ODOT Locations'!#REF!&amp;"LAF-Sand"</f>
        <v>#REF!</v>
      </c>
    </row>
    <row r="862" spans="1:2" ht="12.75" customHeight="1" x14ac:dyDescent="0.15">
      <c r="A862" s="58" t="e">
        <f>'HAULING RATES- ODOT Locations'!#REF!</f>
        <v>#REF!</v>
      </c>
      <c r="B862" s="58" t="e">
        <f>'HAULING RATES- ODOT Locations'!#REF!&amp;"WJE-Sand"</f>
        <v>#REF!</v>
      </c>
    </row>
    <row r="863" spans="1:2" ht="12.75" customHeight="1" x14ac:dyDescent="0.15">
      <c r="A863" s="58">
        <f>'HAULING RATES- ODOT Locations'!$F$118</f>
        <v>0</v>
      </c>
      <c r="B863" s="58" t="str">
        <f>'HAULING RATES- ODOT Locations'!$A$118&amp;"MWI-Sand"</f>
        <v>MarionMWI-Sand</v>
      </c>
    </row>
    <row r="864" spans="1:2" ht="12.75" customHeight="1" x14ac:dyDescent="0.15">
      <c r="A864" s="58" t="e">
        <f>'HAULING RATES- ODOT Locations'!#REF!</f>
        <v>#REF!</v>
      </c>
      <c r="B864" s="58" t="e">
        <f>'HAULING RATES- ODOT Locations'!#REF!&amp;"MAR-Sand"</f>
        <v>#REF!</v>
      </c>
    </row>
    <row r="865" spans="1:2" ht="12.75" customHeight="1" x14ac:dyDescent="0.15">
      <c r="A865" s="58">
        <f>'HAULING RATES- ODOT Locations'!$F$119</f>
        <v>0</v>
      </c>
      <c r="B865" s="58" t="str">
        <f>'HAULING RATES- ODOT Locations'!$A$119&amp;"CHV-Sand"</f>
        <v>MorrowCHV-Sand</v>
      </c>
    </row>
    <row r="866" spans="1:2" ht="12.75" customHeight="1" x14ac:dyDescent="0.15">
      <c r="A866" s="58">
        <f>'HAULING RATES- ODOT Locations'!$F$120</f>
        <v>0</v>
      </c>
      <c r="B866" s="58" t="str">
        <f>'HAULING RATES- ODOT Locations'!$A$120&amp;"MTG-Sand"</f>
        <v>MorrowMTG-Sand</v>
      </c>
    </row>
    <row r="867" spans="1:2" ht="12.75" customHeight="1" x14ac:dyDescent="0.15">
      <c r="A867" s="58">
        <f>'HAULING RATES- ODOT Locations'!$F$121</f>
        <v>0</v>
      </c>
      <c r="B867" s="58" t="str">
        <f>'HAULING RATES- ODOT Locations'!$A$121&amp;"CIR-Sand"</f>
        <v>PickawayCIR-Sand</v>
      </c>
    </row>
    <row r="868" spans="1:2" ht="12.75" customHeight="1" x14ac:dyDescent="0.15">
      <c r="A868" s="58">
        <f>'HAULING RATES- ODOT Locations'!$F$122</f>
        <v>0</v>
      </c>
      <c r="B868" s="58" t="str">
        <f>'HAULING RATES- ODOT Locations'!$A$122&amp;"MAR-Sand"</f>
        <v>UnionMAR-Sand</v>
      </c>
    </row>
    <row r="869" spans="1:2" ht="12.75" customHeight="1" x14ac:dyDescent="0.15">
      <c r="A869" s="58">
        <f>'HAULING RATES- ODOT Locations'!$F$123</f>
        <v>0</v>
      </c>
      <c r="B869" s="58" t="str">
        <f>'HAULING RATES- ODOT Locations'!$A$123&amp;"RIC-Sand"</f>
        <v>UnionRIC-Sand</v>
      </c>
    </row>
    <row r="870" spans="1:2" ht="12.75" customHeight="1" x14ac:dyDescent="0.15">
      <c r="A870" s="58">
        <f>'HAULING RATES- ODOT Locations'!$F$127</f>
        <v>0</v>
      </c>
      <c r="B870" s="58" t="str">
        <f>'HAULING RATES- ODOT Locations'!$A$127&amp;"WAP-Sand"</f>
        <v>AuglaizeWAP-Sand</v>
      </c>
    </row>
    <row r="871" spans="1:2" ht="12.75" customHeight="1" x14ac:dyDescent="0.15">
      <c r="A871" s="58">
        <f>'HAULING RATES- ODOT Locations'!$F$128</f>
        <v>0</v>
      </c>
      <c r="B871" s="58" t="str">
        <f>'HAULING RATES- ODOT Locations'!$A$128&amp;"STM-Sand"</f>
        <v>AuglaizeSTM-Sand</v>
      </c>
    </row>
    <row r="872" spans="1:2" ht="12.75" customHeight="1" x14ac:dyDescent="0.15">
      <c r="A872" s="58">
        <f>'HAULING RATES- ODOT Locations'!$F$129</f>
        <v>0</v>
      </c>
      <c r="B872" s="58" t="str">
        <f>'HAULING RATES- ODOT Locations'!$A$129&amp;"URB-Sand"</f>
        <v>ChampaignURB-Sand</v>
      </c>
    </row>
    <row r="873" spans="1:2" ht="12.75" customHeight="1" x14ac:dyDescent="0.15">
      <c r="A873" s="58">
        <f>'HAULING RATES- ODOT Locations'!$F$130</f>
        <v>0</v>
      </c>
      <c r="B873" s="58" t="str">
        <f>'HAULING RATES- ODOT Locations'!$A$130&amp;"STP-Sand"</f>
        <v>ChampaignSTP-Sand</v>
      </c>
    </row>
    <row r="874" spans="1:2" ht="12.75" customHeight="1" x14ac:dyDescent="0.15">
      <c r="A874" s="58">
        <f>'HAULING RATES- ODOT Locations'!$F$131</f>
        <v>0</v>
      </c>
      <c r="B874" s="58" t="str">
        <f>'HAULING RATES- ODOT Locations'!$A$131&amp;"WOO-Sand"</f>
        <v>ChampaignWOO-Sand</v>
      </c>
    </row>
    <row r="875" spans="1:2" ht="12.75" customHeight="1" x14ac:dyDescent="0.15">
      <c r="A875" s="58">
        <f>'HAULING RATES- ODOT Locations'!$F$132</f>
        <v>0</v>
      </c>
      <c r="B875" s="58" t="str">
        <f>'HAULING RATES- ODOT Locations'!$A$132&amp;"SPR-Sand"</f>
        <v>ClarkSPR-Sand</v>
      </c>
    </row>
    <row r="876" spans="1:2" ht="12.75" customHeight="1" x14ac:dyDescent="0.15">
      <c r="A876" s="58">
        <f>'HAULING RATES- ODOT Locations'!$F$133</f>
        <v>0</v>
      </c>
      <c r="B876" s="58" t="str">
        <f>'HAULING RATES- ODOT Locations'!$A$133&amp;"ENO-Sand"</f>
        <v>ClarkENO-Sand</v>
      </c>
    </row>
    <row r="877" spans="1:2" ht="12.75" customHeight="1" x14ac:dyDescent="0.15">
      <c r="A877" s="58">
        <f>'HAULING RATES- ODOT Locations'!$F$134</f>
        <v>0</v>
      </c>
      <c r="B877" s="58" t="str">
        <f>'HAULING RATES- ODOT Locations'!$A$134&amp;"HAR-Sand"</f>
        <v>ClarkHAR-Sand</v>
      </c>
    </row>
    <row r="878" spans="1:2" ht="12.75" customHeight="1" x14ac:dyDescent="0.15">
      <c r="A878" s="58">
        <f>'HAULING RATES- ODOT Locations'!$F$135</f>
        <v>0</v>
      </c>
      <c r="B878" s="58" t="str">
        <f>'HAULING RATES- ODOT Locations'!$A$135&amp;"GRE-Sand"</f>
        <v>DarkeGRE-Sand</v>
      </c>
    </row>
    <row r="879" spans="1:2" ht="12.75" customHeight="1" x14ac:dyDescent="0.15">
      <c r="A879" s="58">
        <f>'HAULING RATES- ODOT Locations'!$F$136</f>
        <v>0</v>
      </c>
      <c r="B879" s="58" t="str">
        <f>'HAULING RATES- ODOT Locations'!$A$136&amp;"DAW-Sand"</f>
        <v>DarkeDAW-Sand</v>
      </c>
    </row>
    <row r="880" spans="1:2" ht="12.75" customHeight="1" x14ac:dyDescent="0.15">
      <c r="A880" s="58" t="e">
        <f>'HAULING RATES- ODOT Locations'!#REF!</f>
        <v>#REF!</v>
      </c>
      <c r="B880" s="58" t="e">
        <f>'HAULING RATES- ODOT Locations'!#REF!&amp;"BEL-Sand"</f>
        <v>#REF!</v>
      </c>
    </row>
    <row r="881" spans="1:2" ht="12.75" customHeight="1" x14ac:dyDescent="0.15">
      <c r="A881" s="58">
        <f>'HAULING RATES- ODOT Locations'!$F$137</f>
        <v>0</v>
      </c>
      <c r="B881" s="58" t="str">
        <f>'HAULING RATES- ODOT Locations'!$A$137&amp;"LAK-Sand"</f>
        <v>LoganLAK-Sand</v>
      </c>
    </row>
    <row r="882" spans="1:2" ht="12.75" customHeight="1" x14ac:dyDescent="0.15">
      <c r="A882" s="58">
        <f>'HAULING RATES- ODOT Locations'!$F$138</f>
        <v>0</v>
      </c>
      <c r="B882" s="58" t="str">
        <f>'HAULING RATES- ODOT Locations'!$A$138&amp;"ZAN-Sand"</f>
        <v>LoganZAN-Sand</v>
      </c>
    </row>
    <row r="883" spans="1:2" ht="12.75" customHeight="1" x14ac:dyDescent="0.15">
      <c r="A883" s="58">
        <f>'HAULING RATES- ODOT Locations'!$F$139</f>
        <v>0</v>
      </c>
      <c r="B883" s="58" t="str">
        <f>'HAULING RATES- ODOT Locations'!$A$139&amp;"BEL-Sand"</f>
        <v>LoganBEL-Sand</v>
      </c>
    </row>
    <row r="884" spans="1:2" ht="12.75" customHeight="1" x14ac:dyDescent="0.15">
      <c r="A884" s="58">
        <f>'HAULING RATES- ODOT Locations'!$F$140</f>
        <v>0</v>
      </c>
      <c r="B884" s="58" t="str">
        <f>'HAULING RATES- ODOT Locations'!$A$140&amp;"WCE-Sand"</f>
        <v>MercerWCE-Sand</v>
      </c>
    </row>
    <row r="885" spans="1:2" ht="12.75" customHeight="1" x14ac:dyDescent="0.15">
      <c r="A885" s="58">
        <f>'HAULING RATES- ODOT Locations'!$F$141</f>
        <v>0</v>
      </c>
      <c r="B885" s="58" t="str">
        <f>'HAULING RATES- ODOT Locations'!$A$141&amp;"CEL-Sand"</f>
        <v>MercerCEL-Sand</v>
      </c>
    </row>
    <row r="886" spans="1:2" ht="12.75" customHeight="1" x14ac:dyDescent="0.15">
      <c r="A886" s="58">
        <f>'HAULING RATES- ODOT Locations'!$F$142</f>
        <v>0</v>
      </c>
      <c r="B886" s="58" t="str">
        <f>'HAULING RATES- ODOT Locations'!$A$142&amp;"STH-Sand"</f>
        <v>MercerSTH-Sand</v>
      </c>
    </row>
    <row r="887" spans="1:2" ht="12.75" customHeight="1" x14ac:dyDescent="0.15">
      <c r="A887" s="58">
        <f>'HAULING RATES- ODOT Locations'!$F$143</f>
        <v>0</v>
      </c>
      <c r="B887" s="58" t="str">
        <f>'HAULING RATES- ODOT Locations'!$A$143&amp;"TRO-Sand"</f>
        <v>MiamiTRO-Sand</v>
      </c>
    </row>
    <row r="888" spans="1:2" ht="12.75" customHeight="1" x14ac:dyDescent="0.15">
      <c r="A888" s="58">
        <f>'HAULING RATES- ODOT Locations'!$F$144</f>
        <v>0</v>
      </c>
      <c r="B888" s="58" t="str">
        <f>'HAULING RATES- ODOT Locations'!$A$144&amp;"PIQ-Sand"</f>
        <v>MiamiPIQ-Sand</v>
      </c>
    </row>
    <row r="889" spans="1:2" ht="12.75" customHeight="1" x14ac:dyDescent="0.15">
      <c r="A889" s="58">
        <f>'HAULING RATES- ODOT Locations'!$F$145</f>
        <v>0</v>
      </c>
      <c r="B889" s="58" t="str">
        <f>'HAULING RATES- ODOT Locations'!$A$145&amp;"ENG-Sand"</f>
        <v>MontgomeryENG-Sand</v>
      </c>
    </row>
    <row r="890" spans="1:2" ht="12.75" customHeight="1" x14ac:dyDescent="0.15">
      <c r="A890" s="58">
        <f>'HAULING RATES- ODOT Locations'!$F$146</f>
        <v>0</v>
      </c>
      <c r="B890" s="58" t="str">
        <f>'HAULING RATES- ODOT Locations'!$A$146&amp;"MIA-Sand"</f>
        <v>MontgomeryMIA-Sand</v>
      </c>
    </row>
    <row r="891" spans="1:2" ht="12.75" customHeight="1" x14ac:dyDescent="0.15">
      <c r="A891" s="58">
        <f>'HAULING RATES- ODOT Locations'!$F$147</f>
        <v>0</v>
      </c>
      <c r="B891" s="58" t="str">
        <f>'HAULING RATES- ODOT Locations'!$A$147&amp;"HHE-Sand"</f>
        <v>MontgomeryHHE-Sand</v>
      </c>
    </row>
    <row r="892" spans="1:2" ht="12.75" customHeight="1" x14ac:dyDescent="0.15">
      <c r="A892" s="58">
        <f>'HAULING RATES- ODOT Locations'!$F$148</f>
        <v>0</v>
      </c>
      <c r="B892" s="58" t="str">
        <f>'HAULING RATES- ODOT Locations'!$A$148&amp;"SID-Sand"</f>
        <v>ShelbySID-Sand</v>
      </c>
    </row>
    <row r="893" spans="1:2" ht="12.75" customHeight="1" x14ac:dyDescent="0.15">
      <c r="A893" s="58">
        <f>'HAULING RATES- ODOT Locations'!$F$150</f>
        <v>0</v>
      </c>
      <c r="B893" s="58" t="str">
        <f>'HAULING RATES- ODOT Locations'!$A$150&amp;"FTL-Sand"</f>
        <v>ShelbyFTL-Sand</v>
      </c>
    </row>
    <row r="894" spans="1:2" ht="12.75" customHeight="1" x14ac:dyDescent="0.15">
      <c r="A894" s="58">
        <f>'HAULING RATES- ODOT Locations'!$F$154</f>
        <v>0</v>
      </c>
      <c r="B894" s="58" t="str">
        <f>'HAULING RATES- ODOT Locations'!$A$154&amp;"HAM-Sand"</f>
        <v>ButlerHAM-Sand</v>
      </c>
    </row>
    <row r="895" spans="1:2" ht="12.75" customHeight="1" x14ac:dyDescent="0.15">
      <c r="A895" s="58">
        <f>'HAULING RATES- ODOT Locations'!$F$155</f>
        <v>0</v>
      </c>
      <c r="B895" s="58" t="str">
        <f>'HAULING RATES- ODOT Locations'!$A$155&amp;"MID-Sand"</f>
        <v>ButlerMID-Sand</v>
      </c>
    </row>
    <row r="896" spans="1:2" ht="12.75" customHeight="1" x14ac:dyDescent="0.15">
      <c r="A896" s="58">
        <f>'HAULING RATES- ODOT Locations'!$F$156</f>
        <v>0</v>
      </c>
      <c r="B896" s="58" t="str">
        <f>'HAULING RATES- ODOT Locations'!$A$156&amp;"AME-Sand"</f>
        <v>ClermontAME-Sand</v>
      </c>
    </row>
    <row r="897" spans="1:2" ht="12.75" customHeight="1" x14ac:dyDescent="0.15">
      <c r="A897" s="58">
        <f>'HAULING RATES- ODOT Locations'!$F$157</f>
        <v>0</v>
      </c>
      <c r="B897" s="58" t="str">
        <f>'HAULING RATES- ODOT Locations'!$A$157&amp;"MIL-Sand"</f>
        <v>ClermontMIL-Sand</v>
      </c>
    </row>
    <row r="898" spans="1:2" ht="12.75" customHeight="1" x14ac:dyDescent="0.15">
      <c r="A898" s="58">
        <f>'HAULING RATES- ODOT Locations'!$F$158</f>
        <v>0</v>
      </c>
      <c r="B898" s="58" t="str">
        <f>'HAULING RATES- ODOT Locations'!$A$158&amp;"NER-Sand"</f>
        <v>ClermontNER-Sand</v>
      </c>
    </row>
    <row r="899" spans="1:2" ht="12.75" customHeight="1" x14ac:dyDescent="0.15">
      <c r="A899" s="58">
        <f>'HAULING RATES- ODOT Locations'!$F$159</f>
        <v>0</v>
      </c>
      <c r="B899" s="58" t="str">
        <f>'HAULING RATES- ODOT Locations'!$A$159&amp;"WIL-Sand"</f>
        <v>ClintonWIL-Sand</v>
      </c>
    </row>
    <row r="900" spans="1:2" ht="12.75" customHeight="1" x14ac:dyDescent="0.15">
      <c r="A900" s="58">
        <f>'HAULING RATES- ODOT Locations'!$F$160</f>
        <v>0</v>
      </c>
      <c r="B900" s="58" t="str">
        <f>'HAULING RATES- ODOT Locations'!$A$160&amp;"NWI-Sand"</f>
        <v>ClintonNWI-Sand</v>
      </c>
    </row>
    <row r="901" spans="1:2" ht="12.75" customHeight="1" x14ac:dyDescent="0.15">
      <c r="A901" s="58">
        <f>'HAULING RATES- ODOT Locations'!$F$161</f>
        <v>0</v>
      </c>
      <c r="B901" s="58" t="str">
        <f>'HAULING RATES- ODOT Locations'!$A$161&amp;"-Sand"</f>
        <v>Greene-Sand</v>
      </c>
    </row>
    <row r="902" spans="1:2" ht="12.75" customHeight="1" x14ac:dyDescent="0.15">
      <c r="A902" s="58">
        <f>'HAULING RATES- ODOT Locations'!$F$162</f>
        <v>0</v>
      </c>
      <c r="B902" s="58" t="str">
        <f>'HAULING RATES- ODOT Locations'!$A$162&amp;"BLA-Sand"</f>
        <v>HamiltonBLA-Sand</v>
      </c>
    </row>
    <row r="903" spans="1:2" ht="12.75" customHeight="1" x14ac:dyDescent="0.15">
      <c r="A903" s="58">
        <f>'HAULING RATES- ODOT Locations'!$F$163</f>
        <v>0</v>
      </c>
      <c r="B903" s="58" t="str">
        <f>'HAULING RATES- ODOT Locations'!$A$163&amp;"CIN-Sand"</f>
        <v>HamiltonCIN-Sand</v>
      </c>
    </row>
    <row r="904" spans="1:2" ht="12.75" customHeight="1" x14ac:dyDescent="0.15">
      <c r="A904" s="58">
        <f>'HAULING RATES- ODOT Locations'!$F$164</f>
        <v>0</v>
      </c>
      <c r="B904" s="58" t="str">
        <f>'HAULING RATES- ODOT Locations'!$A$164&amp;"MIA-Sand"</f>
        <v>HamiltonMIA-Sand</v>
      </c>
    </row>
    <row r="905" spans="1:2" ht="12.75" customHeight="1" x14ac:dyDescent="0.15">
      <c r="A905" s="58">
        <f>'HAULING RATES- ODOT Locations'!$F$165</f>
        <v>0</v>
      </c>
      <c r="B905" s="58" t="str">
        <f>'HAULING RATES- ODOT Locations'!$A$165&amp;"SHA-Sand"</f>
        <v>HamiltonSHA-Sand</v>
      </c>
    </row>
    <row r="906" spans="1:2" ht="12.75" customHeight="1" x14ac:dyDescent="0.15">
      <c r="A906" s="58" t="e">
        <f>'HAULING RATES- ODOT Locations'!#REF!</f>
        <v>#REF!</v>
      </c>
      <c r="B906" s="58" t="e">
        <f>'HAULING RATES- ODOT Locations'!#REF!&amp;"-Sand"</f>
        <v>#REF!</v>
      </c>
    </row>
    <row r="907" spans="1:2" ht="12.75" customHeight="1" x14ac:dyDescent="0.15">
      <c r="A907" s="58">
        <f>'HAULING RATES- ODOT Locations'!$F$166</f>
        <v>0</v>
      </c>
      <c r="B907" s="58" t="str">
        <f>'HAULING RATES- ODOT Locations'!$A$166&amp;"NEA-Sand"</f>
        <v>PrebleNEA-Sand</v>
      </c>
    </row>
    <row r="908" spans="1:2" ht="12.75" customHeight="1" x14ac:dyDescent="0.15">
      <c r="A908" s="58" t="e">
        <f>'HAULING RATES- ODOT Locations'!#REF!</f>
        <v>#REF!</v>
      </c>
      <c r="B908" s="58" t="e">
        <f>'HAULING RATES- ODOT Locations'!#REF!&amp;"CAM-Sand"</f>
        <v>#REF!</v>
      </c>
    </row>
    <row r="909" spans="1:2" ht="12.75" customHeight="1" x14ac:dyDescent="0.15">
      <c r="A909" s="58">
        <f>'HAULING RATES- ODOT Locations'!$F$168</f>
        <v>0</v>
      </c>
      <c r="B909" s="58" t="str">
        <f>'HAULING RATES- ODOT Locations'!$A$168&amp;"EAL-Sand"</f>
        <v>PrebleEAL-Sand</v>
      </c>
    </row>
    <row r="910" spans="1:2" ht="12.75" customHeight="1" x14ac:dyDescent="0.15">
      <c r="A910" s="58">
        <f>'HAULING RATES- ODOT Locations'!$F$169</f>
        <v>0</v>
      </c>
      <c r="B910" s="58" t="str">
        <f>'HAULING RATES- ODOT Locations'!$A$169&amp;"MON-Sand"</f>
        <v>WarrenMON-Sand</v>
      </c>
    </row>
    <row r="911" spans="1:2" ht="12.75" customHeight="1" x14ac:dyDescent="0.15">
      <c r="A911" s="58">
        <f>'HAULING RATES- ODOT Locations'!$F$170</f>
        <v>0</v>
      </c>
      <c r="B911" s="58" t="str">
        <f>'HAULING RATES- ODOT Locations'!$A$170&amp;"LEB-Sand"</f>
        <v>WarrenLEB-Sand</v>
      </c>
    </row>
    <row r="912" spans="1:2" ht="12.75" customHeight="1" x14ac:dyDescent="0.15">
      <c r="A912" s="58">
        <f>'HAULING RATES- ODOT Locations'!$F$174</f>
        <v>0</v>
      </c>
      <c r="B912" s="58" t="str">
        <f>'HAULING RATES- ODOT Locations'!$A$174&amp;"PEE-Sand"</f>
        <v>AdamsPEE-Sand</v>
      </c>
    </row>
    <row r="913" spans="1:2" ht="12.75" customHeight="1" x14ac:dyDescent="0.15">
      <c r="A913" s="58" t="e">
        <f>'HAULING RATES- ODOT Locations'!#REF!</f>
        <v>#REF!</v>
      </c>
      <c r="B913" s="58" t="e">
        <f>'HAULING RATES- ODOT Locations'!#REF!&amp;"WUN-Sand"</f>
        <v>#REF!</v>
      </c>
    </row>
    <row r="914" spans="1:2" ht="12.75" customHeight="1" x14ac:dyDescent="0.15">
      <c r="A914" s="58">
        <f>'HAULING RATES- ODOT Locations'!$F$176</f>
        <v>0</v>
      </c>
      <c r="B914" s="58" t="str">
        <f>'HAULING RATES- ODOT Locations'!$A$176&amp;"GEO-Sand"</f>
        <v>BrownGEO-Sand</v>
      </c>
    </row>
    <row r="915" spans="1:2" ht="12.75" customHeight="1" x14ac:dyDescent="0.15">
      <c r="A915" s="58">
        <f>'HAULING RATES- ODOT Locations'!$F$177</f>
        <v>0</v>
      </c>
      <c r="B915" s="58" t="str">
        <f>'HAULING RATES- ODOT Locations'!$A$177&amp;"MTO-Sand"</f>
        <v>BrownMTO-Sand</v>
      </c>
    </row>
    <row r="916" spans="1:2" ht="12.75" customHeight="1" x14ac:dyDescent="0.15">
      <c r="A916" s="58">
        <f>'HAULING RATES- ODOT Locations'!$F$178</f>
        <v>0</v>
      </c>
      <c r="B916" s="58" t="str">
        <f>'HAULING RATES- ODOT Locations'!$A$178&amp;"-Sand"</f>
        <v>Highland-Sand</v>
      </c>
    </row>
    <row r="917" spans="1:2" ht="12.75" customHeight="1" x14ac:dyDescent="0.15">
      <c r="A917" s="58">
        <f>'HAULING RATES- ODOT Locations'!$F$179</f>
        <v>0</v>
      </c>
      <c r="B917" s="58" t="str">
        <f>'HAULING RATES- ODOT Locations'!$A$179&amp;"-Sand"</f>
        <v>Jackson-Sand</v>
      </c>
    </row>
    <row r="918" spans="1:2" ht="12.75" customHeight="1" x14ac:dyDescent="0.15">
      <c r="A918" s="58">
        <f>'HAULING RATES- ODOT Locations'!$F$181</f>
        <v>0</v>
      </c>
      <c r="B918" s="58" t="str">
        <f>'HAULING RATES- ODOT Locations'!$A$181&amp;"IRO-Sand"</f>
        <v>LawrenceIRO-Sand</v>
      </c>
    </row>
    <row r="919" spans="1:2" ht="12.75" customHeight="1" x14ac:dyDescent="0.15">
      <c r="A919" s="58">
        <f>'HAULING RATES- ODOT Locations'!$F$182</f>
        <v>0</v>
      </c>
      <c r="B919" s="58" t="str">
        <f>'HAULING RATES- ODOT Locations'!$A$182&amp;"PRO-Sand"</f>
        <v>LawrencePRO-Sand</v>
      </c>
    </row>
    <row r="920" spans="1:2" ht="12.75" customHeight="1" x14ac:dyDescent="0.15">
      <c r="A920" s="58" t="e">
        <f>'HAULING RATES- ODOT Locations'!#REF!</f>
        <v>#REF!</v>
      </c>
      <c r="B920" s="58" t="e">
        <f>'HAULING RATES- ODOT Locations'!#REF!&amp;"WIL-Sand"</f>
        <v>#REF!</v>
      </c>
    </row>
    <row r="921" spans="1:2" ht="12.75" customHeight="1" x14ac:dyDescent="0.15">
      <c r="A921" s="58" t="e">
        <f>'HAULING RATES- ODOT Locations'!#REF!</f>
        <v>#REF!</v>
      </c>
      <c r="B921" s="58" t="e">
        <f>'HAULING RATES- ODOT Locations'!#REF!&amp;"-Sand"</f>
        <v>#REF!</v>
      </c>
    </row>
    <row r="922" spans="1:2" ht="12.75" customHeight="1" x14ac:dyDescent="0.15">
      <c r="A922" s="58">
        <f>'HAULING RATES- ODOT Locations'!$F$185</f>
        <v>0</v>
      </c>
      <c r="B922" s="58" t="str">
        <f>'HAULING RATES- ODOT Locations'!$A$185&amp;"-Sand"</f>
        <v>Ross-Sand</v>
      </c>
    </row>
    <row r="923" spans="1:2" ht="12.75" customHeight="1" x14ac:dyDescent="0.15">
      <c r="A923" s="58">
        <f>'HAULING RATES- ODOT Locations'!$F$186</f>
        <v>0</v>
      </c>
      <c r="B923" s="58" t="str">
        <f>'HAULING RATES- ODOT Locations'!$A$186&amp;"LUC-Sand"</f>
        <v>SciotoLUC-Sand</v>
      </c>
    </row>
    <row r="924" spans="1:2" ht="12.75" customHeight="1" x14ac:dyDescent="0.15">
      <c r="A924" s="58">
        <f>'HAULING RATES- ODOT Locations'!$F$187</f>
        <v>0</v>
      </c>
      <c r="B924" s="58" t="str">
        <f>'HAULING RATES- ODOT Locations'!$A$187&amp;"WHE-Sand"</f>
        <v>SciotoWHE-Sand</v>
      </c>
    </row>
    <row r="925" spans="1:2" ht="12.75" customHeight="1" x14ac:dyDescent="0.15">
      <c r="A925" s="58">
        <f>'HAULING RATES- ODOT Locations'!$F$191</f>
        <v>0</v>
      </c>
      <c r="B925" s="58" t="str">
        <f>'HAULING RATES- ODOT Locations'!$A$191&amp;"ATH-Sand"</f>
        <v>AthensATH-Sand</v>
      </c>
    </row>
    <row r="926" spans="1:2" ht="12.75" customHeight="1" x14ac:dyDescent="0.15">
      <c r="A926" s="58" t="e">
        <f>'HAULING RATES- ODOT Locations'!#REF!</f>
        <v>#REF!</v>
      </c>
      <c r="B926" s="58" t="e">
        <f>'HAULING RATES- ODOT Locations'!#REF!&amp;"GLO-Sand"</f>
        <v>#REF!</v>
      </c>
    </row>
    <row r="927" spans="1:2" ht="12.75" customHeight="1" x14ac:dyDescent="0.15">
      <c r="A927" s="58">
        <f>'HAULING RATES- ODOT Locations'!$F$193</f>
        <v>0</v>
      </c>
      <c r="B927" s="58" t="str">
        <f>'HAULING RATES- ODOT Locations'!$A$193&amp;"COO-Sand"</f>
        <v>GalliaCOO-Sand</v>
      </c>
    </row>
    <row r="928" spans="1:2" ht="12.75" customHeight="1" x14ac:dyDescent="0.15">
      <c r="A928" s="58">
        <f>'HAULING RATES- ODOT Locations'!$F$194</f>
        <v>0</v>
      </c>
      <c r="B928" s="58" t="str">
        <f>'HAULING RATES- ODOT Locations'!$A$194&amp;"-Sand"</f>
        <v>Hocking-Sand</v>
      </c>
    </row>
    <row r="929" spans="1:2" ht="12.75" customHeight="1" x14ac:dyDescent="0.15">
      <c r="A929" s="58">
        <f>'HAULING RATES- ODOT Locations'!$F$195</f>
        <v>0</v>
      </c>
      <c r="B929" s="58" t="str">
        <f>'HAULING RATES- ODOT Locations'!$A$195&amp;"LOG-Sand"</f>
        <v>HockingLOG-Sand</v>
      </c>
    </row>
    <row r="930" spans="1:2" ht="12.75" customHeight="1" x14ac:dyDescent="0.15">
      <c r="A930" s="58">
        <f>'HAULING RATES- ODOT Locations'!$F$196</f>
        <v>0</v>
      </c>
      <c r="B930" s="58" t="str">
        <f>'HAULING RATES- ODOT Locations'!$A$196&amp;"LAU-Sand"</f>
        <v>MeigsLAU-Sand</v>
      </c>
    </row>
    <row r="931" spans="1:2" ht="12.75" customHeight="1" x14ac:dyDescent="0.15">
      <c r="A931" s="58">
        <f>'HAULING RATES- ODOT Locations'!$F$197</f>
        <v>0</v>
      </c>
      <c r="B931" s="58" t="str">
        <f>'HAULING RATES- ODOT Locations'!$A$197&amp;"-Sand"</f>
        <v>Meigs-Sand</v>
      </c>
    </row>
    <row r="932" spans="1:2" ht="12.75" customHeight="1" x14ac:dyDescent="0.15">
      <c r="A932" s="58">
        <f>'HAULING RATES- ODOT Locations'!$F$199</f>
        <v>0</v>
      </c>
      <c r="B932" s="58" t="str">
        <f>'HAULING RATES- ODOT Locations'!$A$199&amp;"WOO-Sand"</f>
        <v>MonroeWOO-Sand</v>
      </c>
    </row>
    <row r="933" spans="1:2" ht="12.75" customHeight="1" x14ac:dyDescent="0.15">
      <c r="A933" s="58" t="e">
        <f>'HAULING RATES- ODOT Locations'!#REF!</f>
        <v>#REF!</v>
      </c>
      <c r="B933" s="58" t="e">
        <f>'HAULING RATES- ODOT Locations'!#REF!&amp;"HAN-Sand"</f>
        <v>#REF!</v>
      </c>
    </row>
    <row r="934" spans="1:2" ht="12.75" customHeight="1" x14ac:dyDescent="0.15">
      <c r="A934" s="58">
        <f>'HAULING RATES- ODOT Locations'!$F$200</f>
        <v>0</v>
      </c>
      <c r="B934" s="58" t="str">
        <f>'HAULING RATES- ODOT Locations'!$A$200&amp;"MCC-Sand"</f>
        <v>MorganMCC-Sand</v>
      </c>
    </row>
    <row r="935" spans="1:2" ht="12.75" customHeight="1" x14ac:dyDescent="0.15">
      <c r="A935" s="58" t="e">
        <f>'HAULING RATES- ODOT Locations'!#REF!</f>
        <v>#REF!</v>
      </c>
      <c r="B935" s="58" t="e">
        <f>'HAULING RATES- ODOT Locations'!#REF!&amp;"CAL-Sand"</f>
        <v>#REF!</v>
      </c>
    </row>
    <row r="936" spans="1:2" ht="12.75" customHeight="1" x14ac:dyDescent="0.15">
      <c r="A936" s="58" t="e">
        <f>'HAULING RATES- ODOT Locations'!#REF!</f>
        <v>#REF!</v>
      </c>
      <c r="B936" s="58" t="e">
        <f>'HAULING RATES- ODOT Locations'!#REF!&amp;"BVA-Sand"</f>
        <v>#REF!</v>
      </c>
    </row>
    <row r="937" spans="1:2" ht="12.75" customHeight="1" x14ac:dyDescent="0.15">
      <c r="A937" s="58">
        <f>'HAULING RATES- ODOT Locations'!$F$203</f>
        <v>0</v>
      </c>
      <c r="B937" s="58" t="str">
        <f>'HAULING RATES- ODOT Locations'!$A$203&amp;"HAM-Sand"</f>
        <v>VintonHAM-Sand</v>
      </c>
    </row>
    <row r="938" spans="1:2" ht="12.75" customHeight="1" x14ac:dyDescent="0.15">
      <c r="A938" s="58" t="e">
        <f>'HAULING RATES- ODOT Locations'!#REF!</f>
        <v>#REF!</v>
      </c>
      <c r="B938" s="58" t="e">
        <f>'HAULING RATES- ODOT Locations'!#REF!&amp;"WIL-Sand"</f>
        <v>#REF!</v>
      </c>
    </row>
    <row r="939" spans="1:2" ht="12.75" customHeight="1" x14ac:dyDescent="0.15">
      <c r="A939" s="58">
        <f>'HAULING RATES- ODOT Locations'!$F$205</f>
        <v>0</v>
      </c>
      <c r="B939" s="58" t="str">
        <f>'HAULING RATES- ODOT Locations'!$A$205&amp;"MAR-Sand"</f>
        <v>WashingtonMAR-Sand</v>
      </c>
    </row>
    <row r="940" spans="1:2" ht="12.75" customHeight="1" x14ac:dyDescent="0.15">
      <c r="A940" s="58">
        <f>'HAULING RATES- ODOT Locations'!$F$206</f>
        <v>0</v>
      </c>
      <c r="B940" s="58" t="str">
        <f>'HAULING RATES- ODOT Locations'!$A$206&amp;"BAR-Sand"</f>
        <v>WashingtonBAR-Sand</v>
      </c>
    </row>
    <row r="941" spans="1:2" ht="12.75" customHeight="1" x14ac:dyDescent="0.15">
      <c r="A941" s="58">
        <f>'HAULING RATES- ODOT Locations'!$F$207</f>
        <v>0</v>
      </c>
      <c r="B941" s="58" t="str">
        <f>'HAULING RATES- ODOT Locations'!$A$207&amp;"BEL-Sand"</f>
        <v>WashingtonBEL-Sand</v>
      </c>
    </row>
    <row r="942" spans="1:2" ht="12.75" customHeight="1" x14ac:dyDescent="0.15">
      <c r="A942" s="58" t="e">
        <f>'HAULING RATES- ODOT Locations'!#REF!</f>
        <v>#REF!</v>
      </c>
      <c r="B942" s="58" t="e">
        <f>'HAULING RATES- ODOT Locations'!#REF!&amp;"MAC-Sand"</f>
        <v>#REF!</v>
      </c>
    </row>
    <row r="943" spans="1:2" ht="12.75" customHeight="1" x14ac:dyDescent="0.15">
      <c r="A943" s="58">
        <f>'HAULING RATES- ODOT Locations'!$F$212</f>
        <v>0</v>
      </c>
      <c r="B943" s="58" t="str">
        <f>'HAULING RATES- ODOT Locations'!$A$212&amp;"BEL-Sand"</f>
        <v>BelmontBEL-Sand</v>
      </c>
    </row>
    <row r="944" spans="1:2" ht="12.75" customHeight="1" x14ac:dyDescent="0.15">
      <c r="A944" s="58">
        <f>'HAULING RATES- ODOT Locations'!$F$213</f>
        <v>0</v>
      </c>
      <c r="B944" s="58" t="str">
        <f>'HAULING RATES- ODOT Locations'!$A$213&amp;"STC-Sand"</f>
        <v>BelmontSTC-Sand</v>
      </c>
    </row>
    <row r="945" spans="1:2" ht="12.75" customHeight="1" x14ac:dyDescent="0.15">
      <c r="A945" s="58">
        <f>'HAULING RATES- ODOT Locations'!$F$214</f>
        <v>0</v>
      </c>
      <c r="B945" s="58" t="str">
        <f>'HAULING RATES- ODOT Locations'!$A$214&amp;"BAR-Sand"</f>
        <v>BelmontBAR-Sand</v>
      </c>
    </row>
    <row r="946" spans="1:2" ht="12.75" customHeight="1" x14ac:dyDescent="0.15">
      <c r="A946" s="58">
        <f>'HAULING RATES- ODOT Locations'!$F$215</f>
        <v>0</v>
      </c>
      <c r="B946" s="58" t="str">
        <f>'HAULING RATES- ODOT Locations'!$A$215&amp;"SHD-Sand"</f>
        <v>BelmontSHD-Sand</v>
      </c>
    </row>
    <row r="947" spans="1:2" ht="12.75" customHeight="1" x14ac:dyDescent="0.15">
      <c r="A947" s="58">
        <f>'HAULING RATES- ODOT Locations'!$F$216</f>
        <v>0</v>
      </c>
      <c r="B947" s="58" t="str">
        <f>'HAULING RATES- ODOT Locations'!$A$216&amp;"-Sand"</f>
        <v>Carroll-Sand</v>
      </c>
    </row>
    <row r="948" spans="1:2" ht="12.75" customHeight="1" x14ac:dyDescent="0.15">
      <c r="A948" s="58">
        <f>'HAULING RATES- ODOT Locations'!$F$217</f>
        <v>0</v>
      </c>
      <c r="B948" s="58" t="str">
        <f>'HAULING RATES- ODOT Locations'!$A$217&amp;"LIS-Sand"</f>
        <v>ColumbianaLIS-Sand</v>
      </c>
    </row>
    <row r="949" spans="1:2" ht="12.75" customHeight="1" x14ac:dyDescent="0.15">
      <c r="A949" s="58">
        <f>'HAULING RATES- ODOT Locations'!$F$218</f>
        <v>0</v>
      </c>
      <c r="B949" s="58" t="str">
        <f>'HAULING RATES- ODOT Locations'!$A$218&amp;"ELI-Sand"</f>
        <v>ColumbianaELI-Sand</v>
      </c>
    </row>
    <row r="950" spans="1:2" ht="12.75" customHeight="1" x14ac:dyDescent="0.15">
      <c r="A950" s="58">
        <f>'HAULING RATES- ODOT Locations'!$F$219</f>
        <v>0</v>
      </c>
      <c r="B950" s="58" t="str">
        <f>'HAULING RATES- ODOT Locations'!$A$219&amp;"EPA-Sand"</f>
        <v>ColumbianaEPA-Sand</v>
      </c>
    </row>
    <row r="951" spans="1:2" ht="12.75" customHeight="1" x14ac:dyDescent="0.15">
      <c r="A951" s="58">
        <f>'HAULING RATES- ODOT Locations'!$F$220</f>
        <v>0</v>
      </c>
      <c r="B951" s="58" t="str">
        <f>'HAULING RATES- ODOT Locations'!$A$220&amp;"CAD-Sand"</f>
        <v>HarrisonCAD-Sand</v>
      </c>
    </row>
    <row r="952" spans="1:2" ht="12.75" customHeight="1" x14ac:dyDescent="0.15">
      <c r="A952" s="58">
        <f>'HAULING RATES- ODOT Locations'!$F$222</f>
        <v>0</v>
      </c>
      <c r="B952" s="58" t="str">
        <f>'HAULING RATES- ODOT Locations'!$A$222&amp;"FRE-Sand"</f>
        <v>HarrisonFRE-Sand</v>
      </c>
    </row>
    <row r="953" spans="1:2" ht="12.75" customHeight="1" x14ac:dyDescent="0.15">
      <c r="A953" s="58" t="e">
        <f>'HAULING RATES- ODOT Locations'!#REF!</f>
        <v>#REF!</v>
      </c>
      <c r="B953" s="58" t="e">
        <f>'HAULING RATES- ODOT Locations'!#REF!&amp;"MIL-Sand"</f>
        <v>#REF!</v>
      </c>
    </row>
    <row r="954" spans="1:2" ht="12.75" customHeight="1" x14ac:dyDescent="0.15">
      <c r="A954" s="58">
        <f>'HAULING RATES- ODOT Locations'!$F$224</f>
        <v>0</v>
      </c>
      <c r="B954" s="58" t="str">
        <f>'HAULING RATES- ODOT Locations'!$A$224&amp;"NAS-Sand"</f>
        <v>HolmesNAS-Sand</v>
      </c>
    </row>
    <row r="955" spans="1:2" ht="12.75" customHeight="1" x14ac:dyDescent="0.15">
      <c r="A955" s="58" t="e">
        <f>'HAULING RATES- ODOT Locations'!#REF!</f>
        <v>#REF!</v>
      </c>
      <c r="B955" s="58" t="e">
        <f>'HAULING RATES- ODOT Locations'!#REF!&amp;"WIN-Sand"</f>
        <v>#REF!</v>
      </c>
    </row>
    <row r="956" spans="1:2" ht="12.75" customHeight="1" x14ac:dyDescent="0.15">
      <c r="A956" s="58" t="e">
        <f>'HAULING RATES- ODOT Locations'!#REF!</f>
        <v>#REF!</v>
      </c>
      <c r="B956" s="58" t="e">
        <f>'HAULING RATES- ODOT Locations'!#REF!&amp;"STE-Sand"</f>
        <v>#REF!</v>
      </c>
    </row>
    <row r="957" spans="1:2" ht="12.75" customHeight="1" x14ac:dyDescent="0.15">
      <c r="A957" s="58" t="e">
        <f>'HAULING RATES- ODOT Locations'!#REF!</f>
        <v>#REF!</v>
      </c>
      <c r="B957" s="58" t="e">
        <f>'HAULING RATES- ODOT Locations'!#REF!&amp;"DIL-Sand"</f>
        <v>#REF!</v>
      </c>
    </row>
    <row r="958" spans="1:2" ht="12.75" customHeight="1" x14ac:dyDescent="0.15">
      <c r="A958" s="58" t="e">
        <f>'HAULING RATES- ODOT Locations'!#REF!</f>
        <v>#REF!</v>
      </c>
      <c r="B958" s="58" t="e">
        <f>'HAULING RATES- ODOT Locations'!#REF!&amp;"BER-Sand"</f>
        <v>#REF!</v>
      </c>
    </row>
    <row r="959" spans="1:2" ht="12.75" customHeight="1" x14ac:dyDescent="0.15">
      <c r="A959" s="58">
        <f>'HAULING RATES- ODOT Locations'!$F$229</f>
        <v>0</v>
      </c>
      <c r="B959" s="58" t="str">
        <f>'HAULING RATES- ODOT Locations'!$A$229&amp;"NPH-Sand"</f>
        <v>TuscarawasNPH-Sand</v>
      </c>
    </row>
    <row r="960" spans="1:2" ht="12.75" customHeight="1" x14ac:dyDescent="0.15">
      <c r="A960" s="58" t="e">
        <f>'HAULING RATES- ODOT Locations'!#REF!</f>
        <v>#REF!</v>
      </c>
      <c r="B960" s="58" t="e">
        <f>'HAULING RATES- ODOT Locations'!#REF!&amp;"BOL-Sand"</f>
        <v>#REF!</v>
      </c>
    </row>
    <row r="961" spans="1:6" ht="12.75" customHeight="1" x14ac:dyDescent="0.15">
      <c r="A961" s="58">
        <f>'HAULING RATES- ODOT Locations'!$F$231</f>
        <v>0</v>
      </c>
      <c r="B961" s="58" t="str">
        <f>'HAULING RATES- ODOT Locations'!$A$231&amp;"NEW-Sand"</f>
        <v>TuscarawasNEW-Sand</v>
      </c>
    </row>
    <row r="962" spans="1:6" ht="12.75" customHeight="1" x14ac:dyDescent="0.15">
      <c r="A962" s="58">
        <f>'HAULING RATES- ODOT Locations'!$F$232</f>
        <v>0</v>
      </c>
      <c r="B962" s="58" t="str">
        <f>'HAULING RATES- ODOT Locations'!$A$232&amp;"DEN-Sand"</f>
        <v>TuscarawasDEN-Sand</v>
      </c>
    </row>
    <row r="963" spans="1:6" ht="12.75" customHeight="1" x14ac:dyDescent="0.15">
      <c r="A963" s="58">
        <f>'HAULING RATES- ODOT Locations'!$F$236</f>
        <v>0</v>
      </c>
      <c r="B963" s="58" t="str">
        <f>'HAULING RATES- ODOT Locations'!$A$236&amp;"CLE-Sand"</f>
        <v>CuyahogaCLE-Sand</v>
      </c>
    </row>
    <row r="964" spans="1:6" ht="12.75" customHeight="1" x14ac:dyDescent="0.15">
      <c r="A964" s="58">
        <f>'HAULING RATES- ODOT Locations'!$F$237</f>
        <v>0</v>
      </c>
      <c r="B964" s="58" t="str">
        <f>'HAULING RATES- ODOT Locations'!$A$237&amp;"IND-Sand"</f>
        <v>CuyahogaIND-Sand</v>
      </c>
    </row>
    <row r="965" spans="1:6" ht="12.75" customHeight="1" x14ac:dyDescent="0.15">
      <c r="A965" s="58" t="e">
        <f>'HAULING RATES- ODOT Locations'!#REF!</f>
        <v>#REF!</v>
      </c>
      <c r="B965" s="58" t="e">
        <f>'HAULING RATES- ODOT Locations'!#REF!&amp;"MAV-Sand"</f>
        <v>#REF!</v>
      </c>
    </row>
    <row r="966" spans="1:6" ht="12.75" customHeight="1" x14ac:dyDescent="0.15">
      <c r="A966" s="58">
        <f>'HAULING RATES- ODOT Locations'!$F$240</f>
        <v>0</v>
      </c>
      <c r="B966" s="58" t="str">
        <f>'HAULING RATES- ODOT Locations'!$A$240&amp;"GRC-Sand"</f>
        <v>CuyahogaGRC-Sand</v>
      </c>
    </row>
    <row r="967" spans="1:6" ht="12.75" customHeight="1" x14ac:dyDescent="0.15">
      <c r="A967" s="58">
        <f>'HAULING RATES- ODOT Locations'!$F$242</f>
        <v>0</v>
      </c>
      <c r="B967" s="58" t="str">
        <f>'HAULING RATES- ODOT Locations'!$A$242&amp;"WAR-Sand"</f>
        <v>CuyahogaWAR-Sand</v>
      </c>
    </row>
    <row r="968" spans="1:6" ht="12.75" customHeight="1" x14ac:dyDescent="0.15">
      <c r="A968" s="58">
        <f>'HAULING RATES- ODOT Locations'!$F$243</f>
        <v>0</v>
      </c>
      <c r="B968" s="58" t="str">
        <f>'HAULING RATES- ODOT Locations'!$A$243&amp;"BUR-Sand"</f>
        <v>GeaugaBUR-Sand</v>
      </c>
    </row>
    <row r="969" spans="1:6" ht="12.75" customHeight="1" x14ac:dyDescent="0.15">
      <c r="A969" s="58">
        <f>'HAULING RATES- ODOT Locations'!$F$244</f>
        <v>0</v>
      </c>
      <c r="B969" s="58" t="str">
        <f>'HAULING RATES- ODOT Locations'!$A$244&amp;"MTW-Sand"</f>
        <v>GeaugaMTW-Sand</v>
      </c>
    </row>
    <row r="970" spans="1:6" ht="12.75" customHeight="1" x14ac:dyDescent="0.15">
      <c r="A970" s="58">
        <f>'HAULING RATES- ODOT Locations'!$F$245</f>
        <v>0</v>
      </c>
      <c r="B970" s="58" t="str">
        <f>'HAULING RATES- ODOT Locations'!$A$245&amp;"MUN-Sand"</f>
        <v>GeaugaMUN-Sand</v>
      </c>
    </row>
    <row r="971" spans="1:6" ht="12.75" customHeight="1" x14ac:dyDescent="0.15">
      <c r="A971" s="58">
        <f>'HAULING RATES- ODOT Locations'!$F$246</f>
        <v>0</v>
      </c>
      <c r="B971" s="58" t="str">
        <f>'HAULING RATES- ODOT Locations'!$A$246&amp;"PAR-Sand"</f>
        <v>GeaugaPAR-Sand</v>
      </c>
    </row>
    <row r="972" spans="1:6" ht="12.75" customHeight="1" x14ac:dyDescent="0.15">
      <c r="A972" s="58">
        <f>'HAULING RATES- ODOT Locations'!$F$247</f>
        <v>0</v>
      </c>
      <c r="B972" s="58" t="str">
        <f>'HAULING RATES- ODOT Locations'!$A$247&amp;"PAI-Sand"</f>
        <v>LakePAI-Sand</v>
      </c>
    </row>
    <row r="973" spans="1:6" ht="12.75" customHeight="1" x14ac:dyDescent="0.15">
      <c r="A973" s="58">
        <f>'HAULING RATES- ODOT Locations'!$F$248</f>
        <v>0</v>
      </c>
      <c r="B973" s="58" t="str">
        <f>'HAULING RATES- ODOT Locations'!$A$248&amp;"MAD-Sand"</f>
        <v>LakeMAD-Sand</v>
      </c>
    </row>
    <row r="974" spans="1:6" ht="12.75" customHeight="1" x14ac:dyDescent="0.15">
      <c r="A974" s="60">
        <f>'HAULING RATES- ODOT Locations'!$F$250</f>
        <v>0</v>
      </c>
      <c r="B974" s="60" t="str">
        <f>'HAULING RATES- ODOT Locations'!$A$250&amp;"LER-Sand"</f>
        <v>LakeLER-Sand</v>
      </c>
      <c r="C974" s="59"/>
      <c r="D974" s="59"/>
      <c r="E974" s="59"/>
      <c r="F974" s="59"/>
    </row>
    <row r="975" spans="1:6" ht="12.75" customHeight="1" x14ac:dyDescent="0.15">
      <c r="A975" s="58" t="e">
        <f>'HAULING RATES- ODOT Locations'!#REF!</f>
        <v>#REF!</v>
      </c>
      <c r="B975" s="58" t="e">
        <f>'HAULING RATES- ODOT Locations'!#REF!&amp;"-DumpRock"</f>
        <v>#REF!</v>
      </c>
    </row>
    <row r="976" spans="1:6" ht="12.75" customHeight="1" x14ac:dyDescent="0.15">
      <c r="A976" s="58">
        <f>'HAULING RATES- ODOT Locations'!$G$10</f>
        <v>0</v>
      </c>
      <c r="B976" s="58" t="str">
        <f>'HAULING RATES- ODOT Locations'!$A$10&amp;"-DumpRock"</f>
        <v>Defiance-DumpRock</v>
      </c>
    </row>
    <row r="977" spans="1:2" ht="12.75" customHeight="1" x14ac:dyDescent="0.15">
      <c r="A977" s="58">
        <f>'HAULING RATES- ODOT Locations'!$G$11</f>
        <v>0</v>
      </c>
      <c r="B977" s="58" t="str">
        <f>'HAULING RATES- ODOT Locations'!$A$11&amp;"-DumpRock"</f>
        <v>Hancock-DumpRock</v>
      </c>
    </row>
    <row r="978" spans="1:2" ht="12.75" customHeight="1" x14ac:dyDescent="0.15">
      <c r="A978" s="58">
        <f>'HAULING RATES- ODOT Locations'!$G$12</f>
        <v>0</v>
      </c>
      <c r="B978" s="58" t="str">
        <f>'HAULING RATES- ODOT Locations'!$A$12&amp;"-DumpRock"</f>
        <v>Hardin-DumpRock</v>
      </c>
    </row>
    <row r="979" spans="1:2" ht="12.75" customHeight="1" x14ac:dyDescent="0.15">
      <c r="A979" s="58">
        <f>'HAULING RATES- ODOT Locations'!$G$13</f>
        <v>0</v>
      </c>
      <c r="B979" s="58" t="str">
        <f>'HAULING RATES- ODOT Locations'!$A$13&amp;"-DumpRock"</f>
        <v>Paulding-DumpRock</v>
      </c>
    </row>
    <row r="980" spans="1:2" ht="12.75" customHeight="1" x14ac:dyDescent="0.15">
      <c r="A980" s="58" t="e">
        <f>'HAULING RATES- ODOT Locations'!#REF!</f>
        <v>#REF!</v>
      </c>
      <c r="B980" s="58" t="e">
        <f>'HAULING RATES- ODOT Locations'!#REF!&amp;"-DumpRock"</f>
        <v>#REF!</v>
      </c>
    </row>
    <row r="981" spans="1:2" ht="12.75" customHeight="1" x14ac:dyDescent="0.15">
      <c r="A981" s="58">
        <f>'HAULING RATES- ODOT Locations'!$G$15</f>
        <v>0</v>
      </c>
      <c r="B981" s="58" t="str">
        <f>'HAULING RATES- ODOT Locations'!$A$15&amp;"-DumpRock"</f>
        <v>Van Wert-DumpRock</v>
      </c>
    </row>
    <row r="982" spans="1:2" ht="12.75" customHeight="1" x14ac:dyDescent="0.15">
      <c r="A982" s="58" t="e">
        <f>'HAULING RATES- ODOT Locations'!#REF!</f>
        <v>#REF!</v>
      </c>
      <c r="B982" s="58" t="e">
        <f>'HAULING RATES- ODOT Locations'!#REF!&amp;"-DumpRock"</f>
        <v>#REF!</v>
      </c>
    </row>
    <row r="983" spans="1:2" ht="12.75" customHeight="1" x14ac:dyDescent="0.15">
      <c r="A983" s="58">
        <f>'HAULING RATES- ODOT Locations'!$G$20</f>
        <v>0</v>
      </c>
      <c r="B983" s="58" t="str">
        <f>'HAULING RATES- ODOT Locations'!$A$20&amp;"-DumpRock"</f>
        <v>Fulton-DumpRock</v>
      </c>
    </row>
    <row r="984" spans="1:2" ht="12.75" customHeight="1" x14ac:dyDescent="0.15">
      <c r="A984" s="58" t="e">
        <f>'HAULING RATES- ODOT Locations'!#REF!</f>
        <v>#REF!</v>
      </c>
      <c r="B984" s="58" t="e">
        <f>'HAULING RATES- ODOT Locations'!#REF!&amp;"-DumpRock"</f>
        <v>#REF!</v>
      </c>
    </row>
    <row r="985" spans="1:2" ht="12.75" customHeight="1" x14ac:dyDescent="0.15">
      <c r="A985" s="58" t="e">
        <f>'HAULING RATES- ODOT Locations'!#REF!</f>
        <v>#REF!</v>
      </c>
      <c r="B985" s="58" t="e">
        <f>'HAULING RATES- ODOT Locations'!#REF!&amp;"-DumpRock"</f>
        <v>#REF!</v>
      </c>
    </row>
    <row r="986" spans="1:2" ht="12.75" customHeight="1" x14ac:dyDescent="0.15">
      <c r="A986" s="58">
        <f>'HAULING RATES- ODOT Locations'!$G$23</f>
        <v>0</v>
      </c>
      <c r="B986" s="58" t="str">
        <f>'HAULING RATES- ODOT Locations'!$A$23&amp;"OAK-DumpRock"</f>
        <v>OttawaOAK-DumpRock</v>
      </c>
    </row>
    <row r="987" spans="1:2" ht="12.75" customHeight="1" x14ac:dyDescent="0.15">
      <c r="A987" s="58">
        <f>'HAULING RATES- ODOT Locations'!$G$24</f>
        <v>0</v>
      </c>
      <c r="B987" s="58" t="str">
        <f>'HAULING RATES- ODOT Locations'!$A$24&amp;"CLI-DumpRock"</f>
        <v>OttawaCLI-DumpRock</v>
      </c>
    </row>
    <row r="988" spans="1:2" ht="12.75" customHeight="1" x14ac:dyDescent="0.15">
      <c r="A988" s="58" t="e">
        <f>'HAULING RATES- ODOT Locations'!#REF!</f>
        <v>#REF!</v>
      </c>
      <c r="B988" s="58" t="e">
        <f>'HAULING RATES- ODOT Locations'!#REF!&amp;"-DumpRock"</f>
        <v>#REF!</v>
      </c>
    </row>
    <row r="989" spans="1:2" ht="12.75" customHeight="1" x14ac:dyDescent="0.15">
      <c r="A989" s="58">
        <f>'HAULING RATES- ODOT Locations'!$G$26</f>
        <v>0</v>
      </c>
      <c r="B989" s="58" t="str">
        <f>'HAULING RATES- ODOT Locations'!$A$26&amp;"-DumpRock"</f>
        <v>Seneca-DumpRock</v>
      </c>
    </row>
    <row r="990" spans="1:2" ht="12.75" customHeight="1" x14ac:dyDescent="0.15">
      <c r="A990" s="58">
        <f>'HAULING RATES- ODOT Locations'!$G$27</f>
        <v>0</v>
      </c>
      <c r="B990" s="58" t="str">
        <f>'HAULING RATES- ODOT Locations'!$A$27&amp;"-DumpRock"</f>
        <v>Williams-DumpRock</v>
      </c>
    </row>
    <row r="991" spans="1:2" ht="12.75" customHeight="1" x14ac:dyDescent="0.15">
      <c r="A991" s="58" t="e">
        <f>'HAULING RATES- ODOT Locations'!#REF!</f>
        <v>#REF!</v>
      </c>
      <c r="B991" s="58" t="e">
        <f>'HAULING RATES- ODOT Locations'!#REF!&amp;"BG-DumpRock"</f>
        <v>#REF!</v>
      </c>
    </row>
    <row r="992" spans="1:2" ht="12.75" customHeight="1" x14ac:dyDescent="0.15">
      <c r="A992" s="58">
        <f>'HAULING RATES- ODOT Locations'!$G$30</f>
        <v>0</v>
      </c>
      <c r="B992" s="58" t="str">
        <f>'HAULING RATES- ODOT Locations'!$A$30&amp;"NW-DumpRock"</f>
        <v>WoodNW-DumpRock</v>
      </c>
    </row>
    <row r="993" spans="1:2" ht="12.75" customHeight="1" x14ac:dyDescent="0.15">
      <c r="A993" s="58">
        <f>'HAULING RATES- ODOT Locations'!$G$34</f>
        <v>0</v>
      </c>
      <c r="B993" s="58" t="str">
        <f>'HAULING RATES- ODOT Locations'!$A$34&amp;"-DumpRock"</f>
        <v>Ashland-DumpRock</v>
      </c>
    </row>
    <row r="994" spans="1:2" ht="12.75" customHeight="1" x14ac:dyDescent="0.15">
      <c r="A994" s="58" t="e">
        <f>'HAULING RATES- ODOT Locations'!#REF!</f>
        <v>#REF!</v>
      </c>
      <c r="B994" s="58" t="e">
        <f>'HAULING RATES- ODOT Locations'!#REF!&amp;"-DumpRock"</f>
        <v>#REF!</v>
      </c>
    </row>
    <row r="995" spans="1:2" ht="12.75" customHeight="1" x14ac:dyDescent="0.15">
      <c r="A995" s="58">
        <f>'HAULING RATES- ODOT Locations'!$G$37</f>
        <v>0</v>
      </c>
      <c r="B995" s="58" t="str">
        <f>'HAULING RATES- ODOT Locations'!$A$37&amp;"MIL-DumpRock"</f>
        <v>ErieMIL-DumpRock</v>
      </c>
    </row>
    <row r="996" spans="1:2" ht="12.75" customHeight="1" x14ac:dyDescent="0.15">
      <c r="A996" s="58">
        <f>'HAULING RATES- ODOT Locations'!$G$38</f>
        <v>0</v>
      </c>
      <c r="B996" s="58" t="str">
        <f>'HAULING RATES- ODOT Locations'!$A$38&amp;"VER-DumpRock"</f>
        <v>ErieVER-DumpRock</v>
      </c>
    </row>
    <row r="997" spans="1:2" ht="12.75" customHeight="1" x14ac:dyDescent="0.15">
      <c r="A997" s="58">
        <f>'HAULING RATES- ODOT Locations'!$G$39</f>
        <v>0</v>
      </c>
      <c r="B997" s="58" t="str">
        <f>'HAULING RATES- ODOT Locations'!$A$39&amp;"-DumpRock"</f>
        <v>Huron-DumpRock</v>
      </c>
    </row>
    <row r="998" spans="1:2" ht="12.75" customHeight="1" x14ac:dyDescent="0.15">
      <c r="A998" s="58">
        <f>'HAULING RATES- ODOT Locations'!$G$41</f>
        <v>0</v>
      </c>
      <c r="B998" s="58" t="str">
        <f>'HAULING RATES- ODOT Locations'!$A$41&amp;"OBE-DumpRock"</f>
        <v>LorainOBE-DumpRock</v>
      </c>
    </row>
    <row r="999" spans="1:2" ht="12.75" customHeight="1" x14ac:dyDescent="0.15">
      <c r="A999" s="58">
        <f>'HAULING RATES- ODOT Locations'!$G$42</f>
        <v>0</v>
      </c>
      <c r="B999" s="58" t="str">
        <f>'HAULING RATES- ODOT Locations'!$A$42&amp;"AVO-DumpRock"</f>
        <v>LorainAVO-DumpRock</v>
      </c>
    </row>
    <row r="1000" spans="1:2" ht="12.75" customHeight="1" x14ac:dyDescent="0.15">
      <c r="A1000" s="58">
        <f>'HAULING RATES- ODOT Locations'!$G$44</f>
        <v>0</v>
      </c>
      <c r="B1000" s="58" t="str">
        <f>'HAULING RATES- ODOT Locations'!$A$44&amp;"MED-DumpRock"</f>
        <v>MedinaMED-DumpRock</v>
      </c>
    </row>
    <row r="1001" spans="1:2" ht="12.75" customHeight="1" x14ac:dyDescent="0.15">
      <c r="A1001" s="58">
        <f>'HAULING RATES- ODOT Locations'!$G$45</f>
        <v>0</v>
      </c>
      <c r="B1001" s="58" t="str">
        <f>'HAULING RATES- ODOT Locations'!$A$45&amp;"BUR-DumpRock"</f>
        <v>MedinaBUR-DumpRock</v>
      </c>
    </row>
    <row r="1002" spans="1:2" ht="12.75" customHeight="1" x14ac:dyDescent="0.15">
      <c r="A1002" s="58">
        <f>'HAULING RATES- ODOT Locations'!$G$47</f>
        <v>0</v>
      </c>
      <c r="B1002" s="58" t="str">
        <f>'HAULING RATES- ODOT Locations'!$A$47&amp;"MAN-DumpRock"</f>
        <v>RichlandMAN-DumpRock</v>
      </c>
    </row>
    <row r="1003" spans="1:2" ht="12.75" customHeight="1" x14ac:dyDescent="0.15">
      <c r="A1003" s="58">
        <f>'HAULING RATES- ODOT Locations'!$G$48</f>
        <v>0</v>
      </c>
      <c r="B1003" s="58" t="str">
        <f>'HAULING RATES- ODOT Locations'!$A$48&amp;"BEL-DumpRock"</f>
        <v>RichlandBEL-DumpRock</v>
      </c>
    </row>
    <row r="1004" spans="1:2" ht="12.75" customHeight="1" x14ac:dyDescent="0.15">
      <c r="A1004" s="58" t="e">
        <f>'HAULING RATES- ODOT Locations'!#REF!</f>
        <v>#REF!</v>
      </c>
      <c r="B1004" s="58" t="e">
        <f>'HAULING RATES- ODOT Locations'!#REF!&amp;"-DumpRock"</f>
        <v>#REF!</v>
      </c>
    </row>
    <row r="1005" spans="1:2" ht="12.75" customHeight="1" x14ac:dyDescent="0.15">
      <c r="A1005" s="58">
        <f>'HAULING RATES- ODOT Locations'!$G$53</f>
        <v>0</v>
      </c>
      <c r="B1005" s="58" t="str">
        <f>'HAULING RATES- ODOT Locations'!$A$53&amp;"ATB-DumpRock"</f>
        <v>AshtabulaATB-DumpRock</v>
      </c>
    </row>
    <row r="1006" spans="1:2" ht="12.75" customHeight="1" x14ac:dyDescent="0.15">
      <c r="A1006" s="58">
        <f>'HAULING RATES- ODOT Locations'!$G$54</f>
        <v>0</v>
      </c>
      <c r="B1006" s="58" t="str">
        <f>'HAULING RATES- ODOT Locations'!$A$54&amp;"CON-DumpRock"</f>
        <v>AshtabulaCON-DumpRock</v>
      </c>
    </row>
    <row r="1007" spans="1:2" ht="12.75" customHeight="1" x14ac:dyDescent="0.15">
      <c r="A1007" s="58">
        <f>'HAULING RATES- ODOT Locations'!$G$55</f>
        <v>0</v>
      </c>
      <c r="B1007" s="58" t="str">
        <f>'HAULING RATES- ODOT Locations'!$A$55&amp;"DOR-DumpRock"</f>
        <v>AshtabulaDOR-DumpRock</v>
      </c>
    </row>
    <row r="1008" spans="1:2" ht="12.75" customHeight="1" x14ac:dyDescent="0.15">
      <c r="A1008" s="58">
        <f>'HAULING RATES- ODOT Locations'!$G$56</f>
        <v>0</v>
      </c>
      <c r="B1008" s="58" t="str">
        <f>'HAULING RATES- ODOT Locations'!$A$56&amp;"GEN-DumpRock"</f>
        <v>AshtabulaGEN-DumpRock</v>
      </c>
    </row>
    <row r="1009" spans="1:2" ht="12.75" customHeight="1" x14ac:dyDescent="0.15">
      <c r="A1009" s="58">
        <f>'HAULING RATES- ODOT Locations'!$G$57</f>
        <v>0</v>
      </c>
      <c r="B1009" s="58" t="str">
        <f>'HAULING RATES- ODOT Locations'!$A$57&amp;"ROM-DumpRock"</f>
        <v>AshtabulaROM-DumpRock</v>
      </c>
    </row>
    <row r="1010" spans="1:2" ht="12.75" customHeight="1" x14ac:dyDescent="0.15">
      <c r="A1010" s="58">
        <f>'HAULING RATES- ODOT Locations'!$G$58</f>
        <v>0</v>
      </c>
      <c r="B1010" s="58" t="str">
        <f>'HAULING RATES- ODOT Locations'!$A$58&amp;"WIL-DumpRock"</f>
        <v>AshtabulaWIL-DumpRock</v>
      </c>
    </row>
    <row r="1011" spans="1:2" ht="12.75" customHeight="1" x14ac:dyDescent="0.15">
      <c r="A1011" s="58">
        <f>'HAULING RATES- ODOT Locations'!$G$59</f>
        <v>0</v>
      </c>
      <c r="B1011" s="58" t="str">
        <f>'HAULING RATES- ODOT Locations'!$A$59&amp;"CAN-DumpRock"</f>
        <v>MahoningCAN-DumpRock</v>
      </c>
    </row>
    <row r="1012" spans="1:2" ht="12.75" customHeight="1" x14ac:dyDescent="0.15">
      <c r="A1012" s="58">
        <f>'HAULING RATES- ODOT Locations'!$G$60</f>
        <v>0</v>
      </c>
      <c r="B1012" s="58" t="str">
        <f>'HAULING RATES- ODOT Locations'!$A$60&amp;"NJ-DumpRock"</f>
        <v>MahoningNJ-DumpRock</v>
      </c>
    </row>
    <row r="1013" spans="1:2" ht="12.75" customHeight="1" x14ac:dyDescent="0.15">
      <c r="A1013" s="58">
        <f>'HAULING RATES- ODOT Locations'!$G$61</f>
        <v>0</v>
      </c>
      <c r="B1013" s="58" t="str">
        <f>'HAULING RATES- ODOT Locations'!$A$61&amp;"NLI-DumpRock"</f>
        <v>MahoningNLI-DumpRock</v>
      </c>
    </row>
    <row r="1014" spans="1:2" ht="12.75" customHeight="1" x14ac:dyDescent="0.15">
      <c r="A1014" s="58" t="e">
        <f>'HAULING RATES- ODOT Locations'!#REF!</f>
        <v>#REF!</v>
      </c>
      <c r="B1014" s="58" t="e">
        <f>'HAULING RATES- ODOT Locations'!#REF!&amp;"BEL-DumpRock"</f>
        <v>#REF!</v>
      </c>
    </row>
    <row r="1015" spans="1:2" ht="12.75" customHeight="1" x14ac:dyDescent="0.15">
      <c r="A1015" s="58">
        <f>'HAULING RATES- ODOT Locations'!$G$63</f>
        <v>0</v>
      </c>
      <c r="B1015" s="58" t="str">
        <f>'HAULING RATES- ODOT Locations'!$A$63&amp;"YOU-DumpRock"</f>
        <v>MahoningYOU-DumpRock</v>
      </c>
    </row>
    <row r="1016" spans="1:2" ht="12.75" customHeight="1" x14ac:dyDescent="0.15">
      <c r="A1016" s="58">
        <f>'HAULING RATES- ODOT Locations'!$G$64</f>
        <v>0</v>
      </c>
      <c r="B1016" s="58" t="str">
        <f>'HAULING RATES- ODOT Locations'!$A$64&amp;"WIN-DumpRock"</f>
        <v>PortageWIN-DumpRock</v>
      </c>
    </row>
    <row r="1017" spans="1:2" ht="12.75" customHeight="1" x14ac:dyDescent="0.15">
      <c r="A1017" s="58">
        <f>'HAULING RATES- ODOT Locations'!$G$65</f>
        <v>0</v>
      </c>
      <c r="B1017" s="58" t="str">
        <f>'HAULING RATES- ODOT Locations'!$A$65&amp;"ROO-DumpRock"</f>
        <v>PortageROO-DumpRock</v>
      </c>
    </row>
    <row r="1018" spans="1:2" ht="12.75" customHeight="1" x14ac:dyDescent="0.15">
      <c r="A1018" s="58" t="e">
        <f>'HAULING RATES- ODOT Locations'!#REF!</f>
        <v>#REF!</v>
      </c>
      <c r="B1018" s="58" t="e">
        <f>'HAULING RATES- ODOT Locations'!#REF!&amp;"DEE-DumpRock"</f>
        <v>#REF!</v>
      </c>
    </row>
    <row r="1019" spans="1:2" ht="12.75" customHeight="1" x14ac:dyDescent="0.15">
      <c r="A1019" s="58">
        <f>'HAULING RATES- ODOT Locations'!$G$67</f>
        <v>0</v>
      </c>
      <c r="B1019" s="58" t="str">
        <f>'HAULING RATES- ODOT Locations'!$A$67&amp;"CAN-DumpRock"</f>
        <v>StarkCAN-DumpRock</v>
      </c>
    </row>
    <row r="1020" spans="1:2" ht="12.75" customHeight="1" x14ac:dyDescent="0.15">
      <c r="A1020" s="58">
        <f>'HAULING RATES- ODOT Locations'!$G$68</f>
        <v>0</v>
      </c>
      <c r="B1020" s="58" t="str">
        <f>'HAULING RATES- ODOT Locations'!$A$68&amp;"MAS-DumpRock"</f>
        <v>StarkMAS-DumpRock</v>
      </c>
    </row>
    <row r="1021" spans="1:2" ht="12.75" customHeight="1" x14ac:dyDescent="0.15">
      <c r="A1021" s="58">
        <f>'HAULING RATES- ODOT Locations'!$G$70</f>
        <v>0</v>
      </c>
      <c r="B1021" s="58" t="str">
        <f>'HAULING RATES- ODOT Locations'!$A$70&amp;"HUD-DumpRock"</f>
        <v>SummitHUD-DumpRock</v>
      </c>
    </row>
    <row r="1022" spans="1:2" ht="12.75" customHeight="1" x14ac:dyDescent="0.15">
      <c r="A1022" s="58">
        <f>'HAULING RATES- ODOT Locations'!$G$71</f>
        <v>0</v>
      </c>
      <c r="B1022" s="58" t="str">
        <f>'HAULING RATES- ODOT Locations'!$A$71&amp;"TWI-DumpRock"</f>
        <v>SummitTWI-DumpRock</v>
      </c>
    </row>
    <row r="1023" spans="1:2" ht="12.75" customHeight="1" x14ac:dyDescent="0.15">
      <c r="A1023" s="58">
        <f>'HAULING RATES- ODOT Locations'!$G$72</f>
        <v>0</v>
      </c>
      <c r="B1023" s="58" t="str">
        <f>'HAULING RATES- ODOT Locations'!$A$72&amp;"NOR-DumpRock"</f>
        <v>SummitNOR-DumpRock</v>
      </c>
    </row>
    <row r="1024" spans="1:2" ht="12.75" customHeight="1" x14ac:dyDescent="0.15">
      <c r="A1024" s="58">
        <f>'HAULING RATES- ODOT Locations'!$G$73</f>
        <v>0</v>
      </c>
      <c r="B1024" s="58" t="str">
        <f>'HAULING RATES- ODOT Locations'!$A$73&amp;"CAN-DumpRock"</f>
        <v>SummitCAN-DumpRock</v>
      </c>
    </row>
    <row r="1025" spans="1:2" ht="12.75" customHeight="1" x14ac:dyDescent="0.15">
      <c r="A1025" s="58">
        <f>'HAULING RATES- ODOT Locations'!$G$74</f>
        <v>0</v>
      </c>
      <c r="B1025" s="58" t="str">
        <f>'HAULING RATES- ODOT Locations'!$A$74&amp;"AKR-DumpRock"</f>
        <v>SummitAKR-DumpRock</v>
      </c>
    </row>
    <row r="1026" spans="1:2" ht="12.75" customHeight="1" x14ac:dyDescent="0.15">
      <c r="A1026" s="58">
        <f>'HAULING RATES- ODOT Locations'!$G$75</f>
        <v>0</v>
      </c>
      <c r="B1026" s="58" t="str">
        <f>'HAULING RATES- ODOT Locations'!$A$75&amp;"HUB-DumpRock"</f>
        <v>TrumbullHUB-DumpRock</v>
      </c>
    </row>
    <row r="1027" spans="1:2" ht="12.75" customHeight="1" x14ac:dyDescent="0.15">
      <c r="A1027" s="58">
        <f>'HAULING RATES- ODOT Locations'!$G$76</f>
        <v>0</v>
      </c>
      <c r="B1027" s="58" t="str">
        <f>'HAULING RATES- ODOT Locations'!$A$76&amp;"COR-DumpRock"</f>
        <v>TrumbullCOR-DumpRock</v>
      </c>
    </row>
    <row r="1028" spans="1:2" ht="12.75" customHeight="1" x14ac:dyDescent="0.15">
      <c r="A1028" s="58">
        <f>'HAULING RATES- ODOT Locations'!$G$77</f>
        <v>0</v>
      </c>
      <c r="B1028" s="58" t="str">
        <f>'HAULING RATES- ODOT Locations'!$A$77&amp;"NB-DumpRock"</f>
        <v>TrumbullNB-DumpRock</v>
      </c>
    </row>
    <row r="1029" spans="1:2" ht="12.75" customHeight="1" x14ac:dyDescent="0.15">
      <c r="A1029" s="58">
        <f>'HAULING RATES- ODOT Locations'!$G$78</f>
        <v>0</v>
      </c>
      <c r="B1029" s="58" t="str">
        <f>'HAULING RATES- ODOT Locations'!$A$78&amp;"FAR-DumpRock"</f>
        <v>TrumbullFAR-DumpRock</v>
      </c>
    </row>
    <row r="1030" spans="1:2" ht="12.75" customHeight="1" x14ac:dyDescent="0.15">
      <c r="A1030" s="58">
        <f>'HAULING RATES- ODOT Locations'!$G$79</f>
        <v>0</v>
      </c>
      <c r="B1030" s="58" t="str">
        <f>'HAULING RATES- ODOT Locations'!$A$79&amp;"LEV-DumpRock"</f>
        <v>TrumbullLEV-DumpRock</v>
      </c>
    </row>
    <row r="1031" spans="1:2" ht="12.75" customHeight="1" x14ac:dyDescent="0.15">
      <c r="A1031" s="58">
        <f>'HAULING RATES- ODOT Locations'!$G$83</f>
        <v>0</v>
      </c>
      <c r="B1031" s="58" t="str">
        <f>'HAULING RATES- ODOT Locations'!$A$83&amp;"COS-DumpRock"</f>
        <v>CoshoctonCOS-DumpRock</v>
      </c>
    </row>
    <row r="1032" spans="1:2" ht="12.75" customHeight="1" x14ac:dyDescent="0.15">
      <c r="A1032" s="58">
        <f>'HAULING RATES- ODOT Locations'!$G$84</f>
        <v>0</v>
      </c>
      <c r="B1032" s="58" t="str">
        <f>'HAULING RATES- ODOT Locations'!$A$84&amp;"NC-DumpRock"</f>
        <v>CoshoctonNC-DumpRock</v>
      </c>
    </row>
    <row r="1033" spans="1:2" ht="12.75" customHeight="1" x14ac:dyDescent="0.15">
      <c r="A1033" s="58">
        <f>'HAULING RATES- ODOT Locations'!$G$85</f>
        <v>0</v>
      </c>
      <c r="B1033" s="58" t="str">
        <f>'HAULING RATES- ODOT Locations'!$A$85&amp;"BAL-DumpRock"</f>
        <v>FairfieldBAL-DumpRock</v>
      </c>
    </row>
    <row r="1034" spans="1:2" ht="12.75" customHeight="1" x14ac:dyDescent="0.15">
      <c r="A1034" s="58" t="e">
        <f>'HAULING RATES- ODOT Locations'!#REF!</f>
        <v>#REF!</v>
      </c>
      <c r="B1034" s="58" t="e">
        <f>'HAULING RATES- ODOT Locations'!#REF!&amp;"LAN-DumpRock"</f>
        <v>#REF!</v>
      </c>
    </row>
    <row r="1035" spans="1:2" ht="12.75" customHeight="1" x14ac:dyDescent="0.15">
      <c r="A1035" s="58">
        <f>'HAULING RATES- ODOT Locations'!$G$87</f>
        <v>0</v>
      </c>
      <c r="B1035" s="58" t="str">
        <f>'HAULING RATES- ODOT Locations'!$A$87&amp;"RUS-DumpRock"</f>
        <v>FairfieldRUS-DumpRock</v>
      </c>
    </row>
    <row r="1036" spans="1:2" ht="12.75" customHeight="1" x14ac:dyDescent="0.15">
      <c r="A1036" s="58">
        <f>'HAULING RATES- ODOT Locations'!$G$88</f>
        <v>0</v>
      </c>
      <c r="B1036" s="58" t="str">
        <f>'HAULING RATES- ODOT Locations'!$A$88&amp;"CAM-DumpRock"</f>
        <v>GuernseyCAM-DumpRock</v>
      </c>
    </row>
    <row r="1037" spans="1:2" ht="12.75" customHeight="1" x14ac:dyDescent="0.15">
      <c r="A1037" s="58">
        <f>'HAULING RATES- ODOT Locations'!$G$89</f>
        <v>0</v>
      </c>
      <c r="B1037" s="58" t="str">
        <f>'HAULING RATES- ODOT Locations'!$A$89&amp;"KIM-DumpRock"</f>
        <v>GuernseyKIM-DumpRock</v>
      </c>
    </row>
    <row r="1038" spans="1:2" ht="12.75" customHeight="1" x14ac:dyDescent="0.15">
      <c r="A1038" s="58">
        <f>'HAULING RATES- ODOT Locations'!$G$90</f>
        <v>0</v>
      </c>
      <c r="B1038" s="58" t="str">
        <f>'HAULING RATES- ODOT Locations'!$A$90&amp;"LCI-DumpRock"</f>
        <v>GuernseyLCI-DumpRock</v>
      </c>
    </row>
    <row r="1039" spans="1:2" ht="12.75" customHeight="1" x14ac:dyDescent="0.15">
      <c r="A1039" s="58">
        <f>'HAULING RATES- ODOT Locations'!$G$91</f>
        <v>0</v>
      </c>
      <c r="B1039" s="58" t="str">
        <f>'HAULING RATES- ODOT Locations'!$A$91&amp;"MTV-DumpRock"</f>
        <v>KnoxMTV-DumpRock</v>
      </c>
    </row>
    <row r="1040" spans="1:2" ht="12.75" customHeight="1" x14ac:dyDescent="0.15">
      <c r="A1040" s="58" t="e">
        <f>'HAULING RATES- ODOT Locations'!#REF!</f>
        <v>#REF!</v>
      </c>
      <c r="B1040" s="58" t="e">
        <f>'HAULING RATES- ODOT Locations'!#REF!&amp;"DAN-DumpRock"</f>
        <v>#REF!</v>
      </c>
    </row>
    <row r="1041" spans="1:2" ht="12.75" customHeight="1" x14ac:dyDescent="0.15">
      <c r="A1041" s="58">
        <f>'HAULING RATES- ODOT Locations'!$G$92</f>
        <v>0</v>
      </c>
      <c r="B1041" s="58" t="str">
        <f>'HAULING RATES- ODOT Locations'!$A$92&amp;"FRE-DumpRock"</f>
        <v>KnoxFRE-DumpRock</v>
      </c>
    </row>
    <row r="1042" spans="1:2" ht="12.75" customHeight="1" x14ac:dyDescent="0.15">
      <c r="A1042" s="58">
        <f>'HAULING RATES- ODOT Locations'!$G$93</f>
        <v>0</v>
      </c>
      <c r="B1042" s="58" t="str">
        <f>'HAULING RATES- ODOT Locations'!$A$93&amp;"JAC-DumpRock"</f>
        <v>LickingJAC-DumpRock</v>
      </c>
    </row>
    <row r="1043" spans="1:2" ht="12.75" customHeight="1" x14ac:dyDescent="0.15">
      <c r="A1043" s="58">
        <f>'HAULING RATES- ODOT Locations'!$G$94</f>
        <v>0</v>
      </c>
      <c r="B1043" s="58" t="str">
        <f>'HAULING RATES- ODOT Locations'!$A$94&amp;"PAT-DumpRock"</f>
        <v>LickingPAT-DumpRock</v>
      </c>
    </row>
    <row r="1044" spans="1:2" ht="12.75" customHeight="1" x14ac:dyDescent="0.15">
      <c r="A1044" s="58">
        <f>'HAULING RATES- ODOT Locations'!$G$95</f>
        <v>0</v>
      </c>
      <c r="B1044" s="58" t="str">
        <f>'HAULING RATES- ODOT Locations'!$A$95&amp;"UTI-DumpRock"</f>
        <v>LickingUTI-DumpRock</v>
      </c>
    </row>
    <row r="1045" spans="1:2" ht="12.75" customHeight="1" x14ac:dyDescent="0.15">
      <c r="A1045" s="58">
        <f>'HAULING RATES- ODOT Locations'!$G$96</f>
        <v>0</v>
      </c>
      <c r="B1045" s="58" t="str">
        <f>'HAULING RATES- ODOT Locations'!$A$96&amp;"BRO-DumpRock"</f>
        <v>LickingBRO-DumpRock</v>
      </c>
    </row>
    <row r="1046" spans="1:2" ht="12.75" customHeight="1" x14ac:dyDescent="0.15">
      <c r="A1046" s="58">
        <f>'HAULING RATES- ODOT Locations'!$G$97</f>
        <v>0</v>
      </c>
      <c r="B1046" s="58" t="str">
        <f>'HAULING RATES- ODOT Locations'!$A$97&amp;"NEW-DumpRock"</f>
        <v>LickingNEW-DumpRock</v>
      </c>
    </row>
    <row r="1047" spans="1:2" ht="12.75" customHeight="1" x14ac:dyDescent="0.15">
      <c r="A1047" s="58">
        <f>'HAULING RATES- ODOT Locations'!$G$98</f>
        <v>0</v>
      </c>
      <c r="B1047" s="58" t="str">
        <f>'HAULING RATES- ODOT Locations'!$A$98&amp;"ZAN-DumpRock"</f>
        <v>MuskingumZAN-DumpRock</v>
      </c>
    </row>
    <row r="1048" spans="1:2" ht="12.75" customHeight="1" x14ac:dyDescent="0.15">
      <c r="A1048" s="58" t="e">
        <f>'HAULING RATES- ODOT Locations'!#REF!</f>
        <v>#REF!</v>
      </c>
      <c r="B1048" s="58" t="e">
        <f>'HAULING RATES- ODOT Locations'!#REF!&amp;"DRE-DumpRock"</f>
        <v>#REF!</v>
      </c>
    </row>
    <row r="1049" spans="1:2" ht="12.75" customHeight="1" x14ac:dyDescent="0.15">
      <c r="A1049" s="58">
        <f>'HAULING RATES- ODOT Locations'!$G$100</f>
        <v>0</v>
      </c>
      <c r="B1049" s="58" t="str">
        <f>'HAULING RATES- ODOT Locations'!$A$100&amp;"DUN-DumpRock"</f>
        <v>MuskingumDUN-DumpRock</v>
      </c>
    </row>
    <row r="1050" spans="1:2" ht="12.75" customHeight="1" x14ac:dyDescent="0.15">
      <c r="A1050" s="58">
        <f>'HAULING RATES- ODOT Locations'!$G$101</f>
        <v>0</v>
      </c>
      <c r="B1050" s="58" t="str">
        <f>'HAULING RATES- ODOT Locations'!$A$101&amp;"MAY-DumpRock"</f>
        <v>MuskingumMAY-DumpRock</v>
      </c>
    </row>
    <row r="1051" spans="1:2" ht="12.75" customHeight="1" x14ac:dyDescent="0.15">
      <c r="A1051" s="58">
        <f>'HAULING RATES- ODOT Locations'!$G$102</f>
        <v>0</v>
      </c>
      <c r="B1051" s="58" t="str">
        <f>'HAULING RATES- ODOT Locations'!$A$102&amp;"NLE-DumpRock"</f>
        <v>PerryNLE-DumpRock</v>
      </c>
    </row>
    <row r="1052" spans="1:2" ht="12.75" customHeight="1" x14ac:dyDescent="0.15">
      <c r="A1052" s="58">
        <f>'HAULING RATES- ODOT Locations'!$G$103</f>
        <v>0</v>
      </c>
      <c r="B1052" s="58" t="str">
        <f>'HAULING RATES- ODOT Locations'!$A$103&amp;"SHA-DumpRock"</f>
        <v>PerrySHA-DumpRock</v>
      </c>
    </row>
    <row r="1053" spans="1:2" ht="12.75" customHeight="1" x14ac:dyDescent="0.15">
      <c r="A1053" s="58">
        <f>'HAULING RATES- ODOT Locations'!$G$107</f>
        <v>0</v>
      </c>
      <c r="B1053" s="58" t="str">
        <f>'HAULING RATES- ODOT Locations'!$A$107&amp;"DEL-DumpRock"</f>
        <v>DelawareDEL-DumpRock</v>
      </c>
    </row>
    <row r="1054" spans="1:2" ht="12.75" customHeight="1" x14ac:dyDescent="0.15">
      <c r="A1054" s="58">
        <f>'HAULING RATES- ODOT Locations'!$G$108</f>
        <v>0</v>
      </c>
      <c r="B1054" s="58" t="str">
        <f>'HAULING RATES- ODOT Locations'!$A$108&amp;"BER-DumpRock"</f>
        <v>DelawareBER-DumpRock</v>
      </c>
    </row>
    <row r="1055" spans="1:2" ht="12.75" customHeight="1" x14ac:dyDescent="0.15">
      <c r="A1055" s="58">
        <f>'HAULING RATES- ODOT Locations'!$G$109</f>
        <v>0</v>
      </c>
      <c r="B1055" s="58" t="str">
        <f>'HAULING RATES- ODOT Locations'!$A$109&amp;"SUN-DumpRock"</f>
        <v>DelawareSUN-DumpRock</v>
      </c>
    </row>
    <row r="1056" spans="1:2" ht="12.75" customHeight="1" x14ac:dyDescent="0.15">
      <c r="A1056" s="58">
        <f>'HAULING RATES- ODOT Locations'!$G$110</f>
        <v>0</v>
      </c>
      <c r="B1056" s="58" t="str">
        <f>'HAULING RATES- ODOT Locations'!$A$110&amp;"WAS-DumpRock"</f>
        <v>FayetteWAS-DumpRock</v>
      </c>
    </row>
    <row r="1057" spans="1:2" ht="12.75" customHeight="1" x14ac:dyDescent="0.15">
      <c r="A1057" s="58">
        <f>'HAULING RATES- ODOT Locations'!$G$111</f>
        <v>0</v>
      </c>
      <c r="B1057" s="58" t="str">
        <f>'HAULING RATES- ODOT Locations'!$A$111&amp;"JEF-DumpRock"</f>
        <v>FayetteJEF-DumpRock</v>
      </c>
    </row>
    <row r="1058" spans="1:2" ht="12.75" customHeight="1" x14ac:dyDescent="0.15">
      <c r="A1058" s="58">
        <f>'HAULING RATES- ODOT Locations'!$G$112</f>
        <v>0</v>
      </c>
      <c r="B1058" s="58" t="str">
        <f>'HAULING RATES- ODOT Locations'!$A$112&amp;"COL-DumpRock"</f>
        <v>FranklinCOL-DumpRock</v>
      </c>
    </row>
    <row r="1059" spans="1:2" ht="12.75" customHeight="1" x14ac:dyDescent="0.15">
      <c r="A1059" s="58">
        <f>'HAULING RATES- ODOT Locations'!$G$113</f>
        <v>0</v>
      </c>
      <c r="B1059" s="58" t="str">
        <f>'HAULING RATES- ODOT Locations'!$A$113&amp;"GCI-DumpRock"</f>
        <v>FranklinGCI-DumpRock</v>
      </c>
    </row>
    <row r="1060" spans="1:2" ht="12.75" customHeight="1" x14ac:dyDescent="0.15">
      <c r="A1060" s="58" t="e">
        <f>'HAULING RATES- ODOT Locations'!#REF!</f>
        <v>#REF!</v>
      </c>
      <c r="B1060" s="58" t="e">
        <f>'HAULING RATES- ODOT Locations'!#REF!&amp;"WOR-DumpRock"</f>
        <v>#REF!</v>
      </c>
    </row>
    <row r="1061" spans="1:2" ht="12.75" customHeight="1" x14ac:dyDescent="0.15">
      <c r="A1061" s="58">
        <f>'HAULING RATES- ODOT Locations'!$G$114</f>
        <v>0</v>
      </c>
      <c r="B1061" s="58" t="str">
        <f>'HAULING RATES- ODOT Locations'!$A$114&amp;"WES-DumpRock"</f>
        <v>FranklinWES-DumpRock</v>
      </c>
    </row>
    <row r="1062" spans="1:2" ht="12.75" customHeight="1" x14ac:dyDescent="0.15">
      <c r="A1062" s="58">
        <f>'HAULING RATES- ODOT Locations'!$G$115</f>
        <v>0</v>
      </c>
      <c r="B1062" s="58" t="str">
        <f>'HAULING RATES- ODOT Locations'!$A$115&amp;"HIL-DumpRock"</f>
        <v>FranklinHIL-DumpRock</v>
      </c>
    </row>
    <row r="1063" spans="1:2" ht="12.75" customHeight="1" x14ac:dyDescent="0.15">
      <c r="A1063" s="58" t="e">
        <f>'HAULING RATES- ODOT Locations'!#REF!</f>
        <v>#REF!</v>
      </c>
      <c r="B1063" s="58" t="e">
        <f>'HAULING RATES- ODOT Locations'!#REF!&amp;"CWC-DumpRock"</f>
        <v>#REF!</v>
      </c>
    </row>
    <row r="1064" spans="1:2" ht="12.75" customHeight="1" x14ac:dyDescent="0.15">
      <c r="A1064" s="58" t="e">
        <f>'HAULING RATES- ODOT Locations'!#REF!</f>
        <v>#REF!</v>
      </c>
      <c r="B1064" s="58" t="e">
        <f>'HAULING RATES- ODOT Locations'!#REF!&amp;"LON-DumpRock"</f>
        <v>#REF!</v>
      </c>
    </row>
    <row r="1065" spans="1:2" ht="12.75" customHeight="1" x14ac:dyDescent="0.15">
      <c r="A1065" s="58" t="e">
        <f>'HAULING RATES- ODOT Locations'!#REF!</f>
        <v>#REF!</v>
      </c>
      <c r="B1065" s="58" t="e">
        <f>'HAULING RATES- ODOT Locations'!#REF!&amp;"MTS-DumpRock"</f>
        <v>#REF!</v>
      </c>
    </row>
    <row r="1066" spans="1:2" ht="12.75" customHeight="1" x14ac:dyDescent="0.15">
      <c r="A1066" s="58" t="e">
        <f>'HAULING RATES- ODOT Locations'!#REF!</f>
        <v>#REF!</v>
      </c>
      <c r="B1066" s="58" t="e">
        <f>'HAULING RATES- ODOT Locations'!#REF!&amp;"LAF-DumpRock"</f>
        <v>#REF!</v>
      </c>
    </row>
    <row r="1067" spans="1:2" ht="12.75" customHeight="1" x14ac:dyDescent="0.15">
      <c r="A1067" s="58" t="e">
        <f>'HAULING RATES- ODOT Locations'!#REF!</f>
        <v>#REF!</v>
      </c>
      <c r="B1067" s="58" t="e">
        <f>'HAULING RATES- ODOT Locations'!#REF!&amp;"WJE-DumpRock"</f>
        <v>#REF!</v>
      </c>
    </row>
    <row r="1068" spans="1:2" ht="12.75" customHeight="1" x14ac:dyDescent="0.15">
      <c r="A1068" s="58">
        <f>'HAULING RATES- ODOT Locations'!$G$118</f>
        <v>0</v>
      </c>
      <c r="B1068" s="58" t="str">
        <f>'HAULING RATES- ODOT Locations'!$A$118&amp;"MWI-DumpRock"</f>
        <v>MarionMWI-DumpRock</v>
      </c>
    </row>
    <row r="1069" spans="1:2" ht="12.75" customHeight="1" x14ac:dyDescent="0.15">
      <c r="A1069" s="58" t="e">
        <f>'HAULING RATES- ODOT Locations'!#REF!</f>
        <v>#REF!</v>
      </c>
      <c r="B1069" s="58" t="e">
        <f>'HAULING RATES- ODOT Locations'!#REF!&amp;"MAR-DumpRock"</f>
        <v>#REF!</v>
      </c>
    </row>
    <row r="1070" spans="1:2" ht="12.75" customHeight="1" x14ac:dyDescent="0.15">
      <c r="A1070" s="58">
        <f>'HAULING RATES- ODOT Locations'!$G$119</f>
        <v>0</v>
      </c>
      <c r="B1070" s="58" t="str">
        <f>'HAULING RATES- ODOT Locations'!$A$119&amp;"CHV-DumpRock"</f>
        <v>MorrowCHV-DumpRock</v>
      </c>
    </row>
    <row r="1071" spans="1:2" ht="12.75" customHeight="1" x14ac:dyDescent="0.15">
      <c r="A1071" s="58">
        <f>'HAULING RATES- ODOT Locations'!$G$120</f>
        <v>0</v>
      </c>
      <c r="B1071" s="58" t="str">
        <f>'HAULING RATES- ODOT Locations'!$A$120&amp;"MTG-DumpRock"</f>
        <v>MorrowMTG-DumpRock</v>
      </c>
    </row>
    <row r="1072" spans="1:2" ht="12.75" customHeight="1" x14ac:dyDescent="0.15">
      <c r="A1072" s="58">
        <f>'HAULING RATES- ODOT Locations'!$G$121</f>
        <v>0</v>
      </c>
      <c r="B1072" s="58" t="str">
        <f>'HAULING RATES- ODOT Locations'!$A$121&amp;"CIR-DumpRock"</f>
        <v>PickawayCIR-DumpRock</v>
      </c>
    </row>
    <row r="1073" spans="1:2" ht="12.75" customHeight="1" x14ac:dyDescent="0.15">
      <c r="A1073" s="58">
        <f>'HAULING RATES- ODOT Locations'!$G$122</f>
        <v>0</v>
      </c>
      <c r="B1073" s="58" t="str">
        <f>'HAULING RATES- ODOT Locations'!$A$122&amp;"MAR-DumpRock"</f>
        <v>UnionMAR-DumpRock</v>
      </c>
    </row>
    <row r="1074" spans="1:2" ht="12.75" customHeight="1" x14ac:dyDescent="0.15">
      <c r="A1074" s="58">
        <f>'HAULING RATES- ODOT Locations'!$G$123</f>
        <v>0</v>
      </c>
      <c r="B1074" s="58" t="str">
        <f>'HAULING RATES- ODOT Locations'!$A$123&amp;"RIC-DumpRock"</f>
        <v>UnionRIC-DumpRock</v>
      </c>
    </row>
    <row r="1075" spans="1:2" ht="12.75" customHeight="1" x14ac:dyDescent="0.15">
      <c r="A1075" s="58">
        <f>'HAULING RATES- ODOT Locations'!$G$127</f>
        <v>0</v>
      </c>
      <c r="B1075" s="58" t="str">
        <f>'HAULING RATES- ODOT Locations'!$A$127&amp;"WAP-DumpRock"</f>
        <v>AuglaizeWAP-DumpRock</v>
      </c>
    </row>
    <row r="1076" spans="1:2" ht="12.75" customHeight="1" x14ac:dyDescent="0.15">
      <c r="A1076" s="58">
        <f>'HAULING RATES- ODOT Locations'!$G$128</f>
        <v>0</v>
      </c>
      <c r="B1076" s="58" t="str">
        <f>'HAULING RATES- ODOT Locations'!$A$128&amp;"STM-DumpRock"</f>
        <v>AuglaizeSTM-DumpRock</v>
      </c>
    </row>
    <row r="1077" spans="1:2" ht="12.75" customHeight="1" x14ac:dyDescent="0.15">
      <c r="A1077" s="58">
        <f>'HAULING RATES- ODOT Locations'!$G$129</f>
        <v>0</v>
      </c>
      <c r="B1077" s="58" t="str">
        <f>'HAULING RATES- ODOT Locations'!$A$129&amp;"URB-DumpRock"</f>
        <v>ChampaignURB-DumpRock</v>
      </c>
    </row>
    <row r="1078" spans="1:2" ht="12.75" customHeight="1" x14ac:dyDescent="0.15">
      <c r="A1078" s="58">
        <f>'HAULING RATES- ODOT Locations'!$G$130</f>
        <v>0</v>
      </c>
      <c r="B1078" s="58" t="str">
        <f>'HAULING RATES- ODOT Locations'!$A$130&amp;"STP-DumpRock"</f>
        <v>ChampaignSTP-DumpRock</v>
      </c>
    </row>
    <row r="1079" spans="1:2" ht="12.75" customHeight="1" x14ac:dyDescent="0.15">
      <c r="A1079" s="58">
        <f>'HAULING RATES- ODOT Locations'!$G$131</f>
        <v>0</v>
      </c>
      <c r="B1079" s="58" t="str">
        <f>'HAULING RATES- ODOT Locations'!$A$131&amp;"WOO-DumpRock"</f>
        <v>ChampaignWOO-DumpRock</v>
      </c>
    </row>
    <row r="1080" spans="1:2" ht="12.75" customHeight="1" x14ac:dyDescent="0.15">
      <c r="A1080" s="58">
        <f>'HAULING RATES- ODOT Locations'!$G$132</f>
        <v>0</v>
      </c>
      <c r="B1080" s="58" t="str">
        <f>'HAULING RATES- ODOT Locations'!$A$132&amp;"SPR-DumpRock"</f>
        <v>ClarkSPR-DumpRock</v>
      </c>
    </row>
    <row r="1081" spans="1:2" ht="12.75" customHeight="1" x14ac:dyDescent="0.15">
      <c r="A1081" s="58">
        <f>'HAULING RATES- ODOT Locations'!$G$133</f>
        <v>0</v>
      </c>
      <c r="B1081" s="58" t="str">
        <f>'HAULING RATES- ODOT Locations'!$A$133&amp;"ENO-DumpRock"</f>
        <v>ClarkENO-DumpRock</v>
      </c>
    </row>
    <row r="1082" spans="1:2" ht="12.75" customHeight="1" x14ac:dyDescent="0.15">
      <c r="A1082" s="58">
        <f>'HAULING RATES- ODOT Locations'!$G$134</f>
        <v>0</v>
      </c>
      <c r="B1082" s="58" t="str">
        <f>'HAULING RATES- ODOT Locations'!$A$134&amp;"HAR-DumpRock"</f>
        <v>ClarkHAR-DumpRock</v>
      </c>
    </row>
    <row r="1083" spans="1:2" ht="12.75" customHeight="1" x14ac:dyDescent="0.15">
      <c r="A1083" s="58">
        <f>'HAULING RATES- ODOT Locations'!$G$135</f>
        <v>0</v>
      </c>
      <c r="B1083" s="58" t="str">
        <f>'HAULING RATES- ODOT Locations'!$A$135&amp;"GRE-DumpRock"</f>
        <v>DarkeGRE-DumpRock</v>
      </c>
    </row>
    <row r="1084" spans="1:2" ht="12.75" customHeight="1" x14ac:dyDescent="0.15">
      <c r="A1084" s="58">
        <f>'HAULING RATES- ODOT Locations'!$G$136</f>
        <v>0</v>
      </c>
      <c r="B1084" s="58" t="str">
        <f>'HAULING RATES- ODOT Locations'!$A$136&amp;"DAW-DumpRock"</f>
        <v>DarkeDAW-DumpRock</v>
      </c>
    </row>
    <row r="1085" spans="1:2" ht="12.75" customHeight="1" x14ac:dyDescent="0.15">
      <c r="A1085" s="58" t="e">
        <f>'HAULING RATES- ODOT Locations'!#REF!</f>
        <v>#REF!</v>
      </c>
      <c r="B1085" s="58" t="e">
        <f>'HAULING RATES- ODOT Locations'!#REF!&amp;"BEL-DumpRock"</f>
        <v>#REF!</v>
      </c>
    </row>
    <row r="1086" spans="1:2" ht="12.75" customHeight="1" x14ac:dyDescent="0.15">
      <c r="A1086" s="58">
        <f>'HAULING RATES- ODOT Locations'!$G$137</f>
        <v>0</v>
      </c>
      <c r="B1086" s="58" t="str">
        <f>'HAULING RATES- ODOT Locations'!$A$137&amp;"LAK-DumpRock"</f>
        <v>LoganLAK-DumpRock</v>
      </c>
    </row>
    <row r="1087" spans="1:2" ht="12.75" customHeight="1" x14ac:dyDescent="0.15">
      <c r="A1087" s="58">
        <f>'HAULING RATES- ODOT Locations'!$G$138</f>
        <v>0</v>
      </c>
      <c r="B1087" s="58" t="str">
        <f>'HAULING RATES- ODOT Locations'!$A$138&amp;"ZAN-DumpRock"</f>
        <v>LoganZAN-DumpRock</v>
      </c>
    </row>
    <row r="1088" spans="1:2" ht="12.75" customHeight="1" x14ac:dyDescent="0.15">
      <c r="A1088" s="58">
        <f>'HAULING RATES- ODOT Locations'!$G$139</f>
        <v>0</v>
      </c>
      <c r="B1088" s="58" t="str">
        <f>'HAULING RATES- ODOT Locations'!$A$139&amp;"BEL-DumpRock"</f>
        <v>LoganBEL-DumpRock</v>
      </c>
    </row>
    <row r="1089" spans="1:2" ht="12.75" customHeight="1" x14ac:dyDescent="0.15">
      <c r="A1089" s="58">
        <f>'HAULING RATES- ODOT Locations'!$G$140</f>
        <v>0</v>
      </c>
      <c r="B1089" s="58" t="str">
        <f>'HAULING RATES- ODOT Locations'!$A$140&amp;"WCE-DumpRock"</f>
        <v>MercerWCE-DumpRock</v>
      </c>
    </row>
    <row r="1090" spans="1:2" ht="12.75" customHeight="1" x14ac:dyDescent="0.15">
      <c r="A1090" s="58">
        <f>'HAULING RATES- ODOT Locations'!$G$141</f>
        <v>0</v>
      </c>
      <c r="B1090" s="58" t="str">
        <f>'HAULING RATES- ODOT Locations'!$A$141&amp;"CEL-DumpRock"</f>
        <v>MercerCEL-DumpRock</v>
      </c>
    </row>
    <row r="1091" spans="1:2" ht="12.75" customHeight="1" x14ac:dyDescent="0.15">
      <c r="A1091" s="58">
        <f>'HAULING RATES- ODOT Locations'!$G$142</f>
        <v>0</v>
      </c>
      <c r="B1091" s="58" t="str">
        <f>'HAULING RATES- ODOT Locations'!$A$142&amp;"STH-DumpRock"</f>
        <v>MercerSTH-DumpRock</v>
      </c>
    </row>
    <row r="1092" spans="1:2" ht="12.75" customHeight="1" x14ac:dyDescent="0.15">
      <c r="A1092" s="58">
        <f>'HAULING RATES- ODOT Locations'!$G$143</f>
        <v>0</v>
      </c>
      <c r="B1092" s="58" t="str">
        <f>'HAULING RATES- ODOT Locations'!$A$143&amp;"TRO-DumpRock"</f>
        <v>MiamiTRO-DumpRock</v>
      </c>
    </row>
    <row r="1093" spans="1:2" ht="12.75" customHeight="1" x14ac:dyDescent="0.15">
      <c r="A1093" s="58">
        <f>'HAULING RATES- ODOT Locations'!$G$144</f>
        <v>0</v>
      </c>
      <c r="B1093" s="58" t="str">
        <f>'HAULING RATES- ODOT Locations'!$A$144&amp;"PIQ-DumpRock"</f>
        <v>MiamiPIQ-DumpRock</v>
      </c>
    </row>
    <row r="1094" spans="1:2" ht="12.75" customHeight="1" x14ac:dyDescent="0.15">
      <c r="A1094" s="58">
        <f>'HAULING RATES- ODOT Locations'!$G$145</f>
        <v>0</v>
      </c>
      <c r="B1094" s="58" t="str">
        <f>'HAULING RATES- ODOT Locations'!$A$145&amp;"ENG-DumpRock"</f>
        <v>MontgomeryENG-DumpRock</v>
      </c>
    </row>
    <row r="1095" spans="1:2" ht="12.75" customHeight="1" x14ac:dyDescent="0.15">
      <c r="A1095" s="58">
        <f>'HAULING RATES- ODOT Locations'!$G$146</f>
        <v>0</v>
      </c>
      <c r="B1095" s="58" t="str">
        <f>'HAULING RATES- ODOT Locations'!$A$146&amp;"MIA-DumpRock"</f>
        <v>MontgomeryMIA-DumpRock</v>
      </c>
    </row>
    <row r="1096" spans="1:2" ht="12.75" customHeight="1" x14ac:dyDescent="0.15">
      <c r="A1096" s="58">
        <f>'HAULING RATES- ODOT Locations'!$G$147</f>
        <v>0</v>
      </c>
      <c r="B1096" s="58" t="str">
        <f>'HAULING RATES- ODOT Locations'!$A$147&amp;"HHE-DumpRock"</f>
        <v>MontgomeryHHE-DumpRock</v>
      </c>
    </row>
    <row r="1097" spans="1:2" ht="12.75" customHeight="1" x14ac:dyDescent="0.15">
      <c r="A1097" s="58">
        <f>'HAULING RATES- ODOT Locations'!$G$148</f>
        <v>0</v>
      </c>
      <c r="B1097" s="58" t="str">
        <f>'HAULING RATES- ODOT Locations'!$A$148&amp;"SID-DumpRock"</f>
        <v>ShelbySID-DumpRock</v>
      </c>
    </row>
    <row r="1098" spans="1:2" ht="12.75" customHeight="1" x14ac:dyDescent="0.15">
      <c r="A1098" s="58">
        <f>'HAULING RATES- ODOT Locations'!$G$150</f>
        <v>0</v>
      </c>
      <c r="B1098" s="58" t="str">
        <f>'HAULING RATES- ODOT Locations'!$A$150&amp;"FTL-DumpRock"</f>
        <v>ShelbyFTL-DumpRock</v>
      </c>
    </row>
    <row r="1099" spans="1:2" ht="12.75" customHeight="1" x14ac:dyDescent="0.15">
      <c r="A1099" s="58">
        <f>'HAULING RATES- ODOT Locations'!$G$154</f>
        <v>0</v>
      </c>
      <c r="B1099" s="58" t="str">
        <f>'HAULING RATES- ODOT Locations'!$A$154&amp;"HAM-DumpRock"</f>
        <v>ButlerHAM-DumpRock</v>
      </c>
    </row>
    <row r="1100" spans="1:2" ht="12.75" customHeight="1" x14ac:dyDescent="0.15">
      <c r="A1100" s="58">
        <f>'HAULING RATES- ODOT Locations'!$G$155</f>
        <v>0</v>
      </c>
      <c r="B1100" s="58" t="str">
        <f>'HAULING RATES- ODOT Locations'!$A$155&amp;"MID-DumpRock"</f>
        <v>ButlerMID-DumpRock</v>
      </c>
    </row>
    <row r="1101" spans="1:2" ht="12.75" customHeight="1" x14ac:dyDescent="0.15">
      <c r="A1101" s="58">
        <f>'HAULING RATES- ODOT Locations'!$G$156</f>
        <v>0</v>
      </c>
      <c r="B1101" s="58" t="str">
        <f>'HAULING RATES- ODOT Locations'!$A$156&amp;"AME-DumpRock"</f>
        <v>ClermontAME-DumpRock</v>
      </c>
    </row>
    <row r="1102" spans="1:2" ht="12.75" customHeight="1" x14ac:dyDescent="0.15">
      <c r="A1102" s="58">
        <f>'HAULING RATES- ODOT Locations'!$G$157</f>
        <v>0</v>
      </c>
      <c r="B1102" s="58" t="str">
        <f>'HAULING RATES- ODOT Locations'!$A$157&amp;"MIL-DumpRock"</f>
        <v>ClermontMIL-DumpRock</v>
      </c>
    </row>
    <row r="1103" spans="1:2" ht="12.75" customHeight="1" x14ac:dyDescent="0.15">
      <c r="A1103" s="58">
        <f>'HAULING RATES- ODOT Locations'!$G$158</f>
        <v>0</v>
      </c>
      <c r="B1103" s="58" t="str">
        <f>'HAULING RATES- ODOT Locations'!$A$158&amp;"NER-DumpRock"</f>
        <v>ClermontNER-DumpRock</v>
      </c>
    </row>
    <row r="1104" spans="1:2" ht="12.75" customHeight="1" x14ac:dyDescent="0.15">
      <c r="A1104" s="58">
        <f>'HAULING RATES- ODOT Locations'!$G$159</f>
        <v>0</v>
      </c>
      <c r="B1104" s="58" t="str">
        <f>'HAULING RATES- ODOT Locations'!$A$159&amp;"WIL-DumpRock"</f>
        <v>ClintonWIL-DumpRock</v>
      </c>
    </row>
    <row r="1105" spans="1:2" ht="12.75" customHeight="1" x14ac:dyDescent="0.15">
      <c r="A1105" s="58">
        <f>'HAULING RATES- ODOT Locations'!$G$160</f>
        <v>0</v>
      </c>
      <c r="B1105" s="58" t="str">
        <f>'HAULING RATES- ODOT Locations'!$A$160&amp;"NWI-DumpRock"</f>
        <v>ClintonNWI-DumpRock</v>
      </c>
    </row>
    <row r="1106" spans="1:2" ht="12.75" customHeight="1" x14ac:dyDescent="0.15">
      <c r="A1106" s="58">
        <f>'HAULING RATES- ODOT Locations'!$G$161</f>
        <v>0</v>
      </c>
      <c r="B1106" s="58" t="str">
        <f>'HAULING RATES- ODOT Locations'!$A$161&amp;"-DumpRock"</f>
        <v>Greene-DumpRock</v>
      </c>
    </row>
    <row r="1107" spans="1:2" ht="12.75" customHeight="1" x14ac:dyDescent="0.15">
      <c r="A1107" s="58">
        <f>'HAULING RATES- ODOT Locations'!$G$162</f>
        <v>0</v>
      </c>
      <c r="B1107" s="58" t="str">
        <f>'HAULING RATES- ODOT Locations'!$A$162&amp;"BLA-DumpRock"</f>
        <v>HamiltonBLA-DumpRock</v>
      </c>
    </row>
    <row r="1108" spans="1:2" ht="12.75" customHeight="1" x14ac:dyDescent="0.15">
      <c r="A1108" s="58">
        <f>'HAULING RATES- ODOT Locations'!$G$163</f>
        <v>0</v>
      </c>
      <c r="B1108" s="58" t="str">
        <f>'HAULING RATES- ODOT Locations'!$A$163&amp;"CIN-DumpRock"</f>
        <v>HamiltonCIN-DumpRock</v>
      </c>
    </row>
    <row r="1109" spans="1:2" ht="12.75" customHeight="1" x14ac:dyDescent="0.15">
      <c r="A1109" s="58">
        <f>'HAULING RATES- ODOT Locations'!$G$164</f>
        <v>0</v>
      </c>
      <c r="B1109" s="58" t="str">
        <f>'HAULING RATES- ODOT Locations'!$A$164&amp;"MIA-DumpRock"</f>
        <v>HamiltonMIA-DumpRock</v>
      </c>
    </row>
    <row r="1110" spans="1:2" ht="12.75" customHeight="1" x14ac:dyDescent="0.15">
      <c r="A1110" s="58">
        <f>'HAULING RATES- ODOT Locations'!$G$165</f>
        <v>0</v>
      </c>
      <c r="B1110" s="58" t="str">
        <f>'HAULING RATES- ODOT Locations'!$A$165&amp;"SHA-DumpRock"</f>
        <v>HamiltonSHA-DumpRock</v>
      </c>
    </row>
    <row r="1111" spans="1:2" ht="12.75" customHeight="1" x14ac:dyDescent="0.15">
      <c r="A1111" s="58" t="e">
        <f>'HAULING RATES- ODOT Locations'!#REF!</f>
        <v>#REF!</v>
      </c>
      <c r="B1111" s="58" t="e">
        <f>'HAULING RATES- ODOT Locations'!#REF!&amp;"-DumpRock"</f>
        <v>#REF!</v>
      </c>
    </row>
    <row r="1112" spans="1:2" ht="12.75" customHeight="1" x14ac:dyDescent="0.15">
      <c r="A1112" s="58">
        <f>'HAULING RATES- ODOT Locations'!$G$166</f>
        <v>0</v>
      </c>
      <c r="B1112" s="58" t="str">
        <f>'HAULING RATES- ODOT Locations'!$A$166&amp;"NEA-DumpRock"</f>
        <v>PrebleNEA-DumpRock</v>
      </c>
    </row>
    <row r="1113" spans="1:2" ht="12.75" customHeight="1" x14ac:dyDescent="0.15">
      <c r="A1113" s="58" t="e">
        <f>'HAULING RATES- ODOT Locations'!#REF!</f>
        <v>#REF!</v>
      </c>
      <c r="B1113" s="58" t="e">
        <f>'HAULING RATES- ODOT Locations'!#REF!&amp;"CAM-DumpRock"</f>
        <v>#REF!</v>
      </c>
    </row>
    <row r="1114" spans="1:2" ht="12.75" customHeight="1" x14ac:dyDescent="0.15">
      <c r="A1114" s="58">
        <f>'HAULING RATES- ODOT Locations'!$G$168</f>
        <v>0</v>
      </c>
      <c r="B1114" s="58" t="str">
        <f>'HAULING RATES- ODOT Locations'!$A$168&amp;"EAL-DumpRock"</f>
        <v>PrebleEAL-DumpRock</v>
      </c>
    </row>
    <row r="1115" spans="1:2" ht="12.75" customHeight="1" x14ac:dyDescent="0.15">
      <c r="A1115" s="58">
        <f>'HAULING RATES- ODOT Locations'!$G$169</f>
        <v>0</v>
      </c>
      <c r="B1115" s="58" t="str">
        <f>'HAULING RATES- ODOT Locations'!$A$169&amp;"MON-DumpRock"</f>
        <v>WarrenMON-DumpRock</v>
      </c>
    </row>
    <row r="1116" spans="1:2" ht="12.75" customHeight="1" x14ac:dyDescent="0.15">
      <c r="A1116" s="58">
        <f>'HAULING RATES- ODOT Locations'!$G$170</f>
        <v>0</v>
      </c>
      <c r="B1116" s="58" t="str">
        <f>'HAULING RATES- ODOT Locations'!$A$170&amp;"LEB-DumpRock"</f>
        <v>WarrenLEB-DumpRock</v>
      </c>
    </row>
    <row r="1117" spans="1:2" ht="12.75" customHeight="1" x14ac:dyDescent="0.15">
      <c r="A1117" s="58">
        <f>'HAULING RATES- ODOT Locations'!$G$174</f>
        <v>0</v>
      </c>
      <c r="B1117" s="58" t="str">
        <f>'HAULING RATES- ODOT Locations'!$A$174&amp;"PEE-DumpRock"</f>
        <v>AdamsPEE-DumpRock</v>
      </c>
    </row>
    <row r="1118" spans="1:2" ht="12.75" customHeight="1" x14ac:dyDescent="0.15">
      <c r="A1118" s="58" t="e">
        <f>'HAULING RATES- ODOT Locations'!#REF!</f>
        <v>#REF!</v>
      </c>
      <c r="B1118" s="58" t="e">
        <f>'HAULING RATES- ODOT Locations'!#REF!&amp;"WUN-DumpRock"</f>
        <v>#REF!</v>
      </c>
    </row>
    <row r="1119" spans="1:2" ht="12.75" customHeight="1" x14ac:dyDescent="0.15">
      <c r="A1119" s="58">
        <f>'HAULING RATES- ODOT Locations'!$G$176</f>
        <v>0</v>
      </c>
      <c r="B1119" s="58" t="str">
        <f>'HAULING RATES- ODOT Locations'!$A$176&amp;"GEO-DumpRock"</f>
        <v>BrownGEO-DumpRock</v>
      </c>
    </row>
    <row r="1120" spans="1:2" ht="12.75" customHeight="1" x14ac:dyDescent="0.15">
      <c r="A1120" s="58">
        <f>'HAULING RATES- ODOT Locations'!$G$177</f>
        <v>0</v>
      </c>
      <c r="B1120" s="58" t="str">
        <f>'HAULING RATES- ODOT Locations'!$A$177&amp;"MTO-DumpRock"</f>
        <v>BrownMTO-DumpRock</v>
      </c>
    </row>
    <row r="1121" spans="1:2" ht="12.75" customHeight="1" x14ac:dyDescent="0.15">
      <c r="A1121" s="58">
        <f>'HAULING RATES- ODOT Locations'!$G$178</f>
        <v>0</v>
      </c>
      <c r="B1121" s="58" t="str">
        <f>'HAULING RATES- ODOT Locations'!$A$178&amp;"-DumpRock"</f>
        <v>Highland-DumpRock</v>
      </c>
    </row>
    <row r="1122" spans="1:2" ht="12.75" customHeight="1" x14ac:dyDescent="0.15">
      <c r="A1122" s="58">
        <f>'HAULING RATES- ODOT Locations'!$G$179</f>
        <v>0</v>
      </c>
      <c r="B1122" s="58" t="str">
        <f>'HAULING RATES- ODOT Locations'!$A$179&amp;"-DumpRock"</f>
        <v>Jackson-DumpRock</v>
      </c>
    </row>
    <row r="1123" spans="1:2" ht="12.75" customHeight="1" x14ac:dyDescent="0.15">
      <c r="A1123" s="58">
        <f>'HAULING RATES- ODOT Locations'!$G$181</f>
        <v>0</v>
      </c>
      <c r="B1123" s="58" t="str">
        <f>'HAULING RATES- ODOT Locations'!$A$181&amp;"IRO-DumpRock"</f>
        <v>LawrenceIRO-DumpRock</v>
      </c>
    </row>
    <row r="1124" spans="1:2" ht="12.75" customHeight="1" x14ac:dyDescent="0.15">
      <c r="A1124" s="58">
        <f>'HAULING RATES- ODOT Locations'!$G$182</f>
        <v>0</v>
      </c>
      <c r="B1124" s="58" t="str">
        <f>'HAULING RATES- ODOT Locations'!$A$182&amp;"PRO-DumpRock"</f>
        <v>LawrencePRO-DumpRock</v>
      </c>
    </row>
    <row r="1125" spans="1:2" ht="12.75" customHeight="1" x14ac:dyDescent="0.15">
      <c r="A1125" s="58" t="e">
        <f>'HAULING RATES- ODOT Locations'!#REF!</f>
        <v>#REF!</v>
      </c>
      <c r="B1125" s="58" t="e">
        <f>'HAULING RATES- ODOT Locations'!#REF!&amp;"WIL-DumpRock"</f>
        <v>#REF!</v>
      </c>
    </row>
    <row r="1126" spans="1:2" ht="12.75" customHeight="1" x14ac:dyDescent="0.15">
      <c r="A1126" s="58" t="e">
        <f>'HAULING RATES- ODOT Locations'!#REF!</f>
        <v>#REF!</v>
      </c>
      <c r="B1126" s="58" t="e">
        <f>'HAULING RATES- ODOT Locations'!#REF!&amp;"-DumpRock"</f>
        <v>#REF!</v>
      </c>
    </row>
    <row r="1127" spans="1:2" ht="12.75" customHeight="1" x14ac:dyDescent="0.15">
      <c r="A1127" s="58">
        <f>'HAULING RATES- ODOT Locations'!$G$185</f>
        <v>0</v>
      </c>
      <c r="B1127" s="58" t="str">
        <f>'HAULING RATES- ODOT Locations'!$A$185&amp;"-DumpRock"</f>
        <v>Ross-DumpRock</v>
      </c>
    </row>
    <row r="1128" spans="1:2" ht="12.75" customHeight="1" x14ac:dyDescent="0.15">
      <c r="A1128" s="58">
        <f>'HAULING RATES- ODOT Locations'!$G$186</f>
        <v>0</v>
      </c>
      <c r="B1128" s="58" t="str">
        <f>'HAULING RATES- ODOT Locations'!$A$186&amp;"LUC-DumpRock"</f>
        <v>SciotoLUC-DumpRock</v>
      </c>
    </row>
    <row r="1129" spans="1:2" ht="12.75" customHeight="1" x14ac:dyDescent="0.15">
      <c r="A1129" s="58">
        <f>'HAULING RATES- ODOT Locations'!$G$187</f>
        <v>0</v>
      </c>
      <c r="B1129" s="58" t="str">
        <f>'HAULING RATES- ODOT Locations'!$A$187&amp;"WHE-DumpRock"</f>
        <v>SciotoWHE-DumpRock</v>
      </c>
    </row>
    <row r="1130" spans="1:2" ht="12.75" customHeight="1" x14ac:dyDescent="0.15">
      <c r="A1130" s="58">
        <f>'HAULING RATES- ODOT Locations'!$G$191</f>
        <v>0</v>
      </c>
      <c r="B1130" s="58" t="str">
        <f>'HAULING RATES- ODOT Locations'!$A$191&amp;"ATH-DumpRock"</f>
        <v>AthensATH-DumpRock</v>
      </c>
    </row>
    <row r="1131" spans="1:2" ht="12.75" customHeight="1" x14ac:dyDescent="0.15">
      <c r="A1131" s="58" t="e">
        <f>'HAULING RATES- ODOT Locations'!#REF!</f>
        <v>#REF!</v>
      </c>
      <c r="B1131" s="58" t="e">
        <f>'HAULING RATES- ODOT Locations'!#REF!&amp;"GLO-DumpRock"</f>
        <v>#REF!</v>
      </c>
    </row>
    <row r="1132" spans="1:2" ht="12.75" customHeight="1" x14ac:dyDescent="0.15">
      <c r="A1132" s="58">
        <f>'HAULING RATES- ODOT Locations'!$G$193</f>
        <v>0</v>
      </c>
      <c r="B1132" s="58" t="str">
        <f>'HAULING RATES- ODOT Locations'!$A$193&amp;"COO-DumpRock"</f>
        <v>GalliaCOO-DumpRock</v>
      </c>
    </row>
    <row r="1133" spans="1:2" ht="12.75" customHeight="1" x14ac:dyDescent="0.15">
      <c r="A1133" s="58">
        <f>'HAULING RATES- ODOT Locations'!$G$194</f>
        <v>0</v>
      </c>
      <c r="B1133" s="58" t="str">
        <f>'HAULING RATES- ODOT Locations'!$A$194&amp;"-DumpRock"</f>
        <v>Hocking-DumpRock</v>
      </c>
    </row>
    <row r="1134" spans="1:2" ht="12.75" customHeight="1" x14ac:dyDescent="0.15">
      <c r="A1134" s="58">
        <f>'HAULING RATES- ODOT Locations'!$G$195</f>
        <v>0</v>
      </c>
      <c r="B1134" s="58" t="str">
        <f>'HAULING RATES- ODOT Locations'!$A$195&amp;"LOG-DumpRock"</f>
        <v>HockingLOG-DumpRock</v>
      </c>
    </row>
    <row r="1135" spans="1:2" ht="12.75" customHeight="1" x14ac:dyDescent="0.15">
      <c r="A1135" s="58">
        <f>'HAULING RATES- ODOT Locations'!$G$196</f>
        <v>0</v>
      </c>
      <c r="B1135" s="58" t="str">
        <f>'HAULING RATES- ODOT Locations'!$A$196&amp;"LAU-DumpRock"</f>
        <v>MeigsLAU-DumpRock</v>
      </c>
    </row>
    <row r="1136" spans="1:2" ht="12.75" customHeight="1" x14ac:dyDescent="0.15">
      <c r="A1136" s="58">
        <f>'HAULING RATES- ODOT Locations'!$G$197</f>
        <v>0</v>
      </c>
      <c r="B1136" s="58" t="str">
        <f>'HAULING RATES- ODOT Locations'!$A$197&amp;"-DumpRock"</f>
        <v>Meigs-DumpRock</v>
      </c>
    </row>
    <row r="1137" spans="1:2" ht="12.75" customHeight="1" x14ac:dyDescent="0.15">
      <c r="A1137" s="58">
        <f>'HAULING RATES- ODOT Locations'!$G$199</f>
        <v>0</v>
      </c>
      <c r="B1137" s="58" t="str">
        <f>'HAULING RATES- ODOT Locations'!$A$199&amp;"WOO-DumpRock"</f>
        <v>MonroeWOO-DumpRock</v>
      </c>
    </row>
    <row r="1138" spans="1:2" ht="12.75" customHeight="1" x14ac:dyDescent="0.15">
      <c r="A1138" s="58" t="e">
        <f>'HAULING RATES- ODOT Locations'!#REF!</f>
        <v>#REF!</v>
      </c>
      <c r="B1138" s="58" t="e">
        <f>'HAULING RATES- ODOT Locations'!#REF!&amp;"HAN-DumpRock"</f>
        <v>#REF!</v>
      </c>
    </row>
    <row r="1139" spans="1:2" ht="12.75" customHeight="1" x14ac:dyDescent="0.15">
      <c r="A1139" s="58">
        <f>'HAULING RATES- ODOT Locations'!$G$200</f>
        <v>0</v>
      </c>
      <c r="B1139" s="58" t="str">
        <f>'HAULING RATES- ODOT Locations'!$A$200&amp;"MCC-DumpRock"</f>
        <v>MorganMCC-DumpRock</v>
      </c>
    </row>
    <row r="1140" spans="1:2" ht="12.75" customHeight="1" x14ac:dyDescent="0.15">
      <c r="A1140" s="58" t="e">
        <f>'HAULING RATES- ODOT Locations'!#REF!</f>
        <v>#REF!</v>
      </c>
      <c r="B1140" s="58" t="e">
        <f>'HAULING RATES- ODOT Locations'!#REF!&amp;"CAL-DumpRock"</f>
        <v>#REF!</v>
      </c>
    </row>
    <row r="1141" spans="1:2" ht="12.75" customHeight="1" x14ac:dyDescent="0.15">
      <c r="A1141" s="58" t="e">
        <f>'HAULING RATES- ODOT Locations'!#REF!</f>
        <v>#REF!</v>
      </c>
      <c r="B1141" s="58" t="e">
        <f>'HAULING RATES- ODOT Locations'!#REF!&amp;"BVA-DumpRock"</f>
        <v>#REF!</v>
      </c>
    </row>
    <row r="1142" spans="1:2" ht="12.75" customHeight="1" x14ac:dyDescent="0.15">
      <c r="A1142" s="58">
        <f>'HAULING RATES- ODOT Locations'!$G$203</f>
        <v>0</v>
      </c>
      <c r="B1142" s="58" t="str">
        <f>'HAULING RATES- ODOT Locations'!$A$203&amp;"HAM-DumpRock"</f>
        <v>VintonHAM-DumpRock</v>
      </c>
    </row>
    <row r="1143" spans="1:2" ht="12.75" customHeight="1" x14ac:dyDescent="0.15">
      <c r="A1143" s="58" t="e">
        <f>'HAULING RATES- ODOT Locations'!#REF!</f>
        <v>#REF!</v>
      </c>
      <c r="B1143" s="58" t="e">
        <f>'HAULING RATES- ODOT Locations'!#REF!&amp;"WIL-DumpRock"</f>
        <v>#REF!</v>
      </c>
    </row>
    <row r="1144" spans="1:2" ht="12.75" customHeight="1" x14ac:dyDescent="0.15">
      <c r="A1144" s="58">
        <f>'HAULING RATES- ODOT Locations'!$G$205</f>
        <v>0</v>
      </c>
      <c r="B1144" s="58" t="str">
        <f>'HAULING RATES- ODOT Locations'!$A$205&amp;"MAR-DumpRock"</f>
        <v>WashingtonMAR-DumpRock</v>
      </c>
    </row>
    <row r="1145" spans="1:2" ht="12.75" customHeight="1" x14ac:dyDescent="0.15">
      <c r="A1145" s="58">
        <f>'HAULING RATES- ODOT Locations'!$G$206</f>
        <v>0</v>
      </c>
      <c r="B1145" s="58" t="str">
        <f>'HAULING RATES- ODOT Locations'!$A$206&amp;"BAR-DumpRock"</f>
        <v>WashingtonBAR-DumpRock</v>
      </c>
    </row>
    <row r="1146" spans="1:2" ht="12.75" customHeight="1" x14ac:dyDescent="0.15">
      <c r="A1146" s="58">
        <f>'HAULING RATES- ODOT Locations'!$G$207</f>
        <v>0</v>
      </c>
      <c r="B1146" s="58" t="str">
        <f>'HAULING RATES- ODOT Locations'!$A$207&amp;"BEL-DumpRock"</f>
        <v>WashingtonBEL-DumpRock</v>
      </c>
    </row>
    <row r="1147" spans="1:2" ht="12.75" customHeight="1" x14ac:dyDescent="0.15">
      <c r="A1147" s="58" t="e">
        <f>'HAULING RATES- ODOT Locations'!#REF!</f>
        <v>#REF!</v>
      </c>
      <c r="B1147" s="58" t="e">
        <f>'HAULING RATES- ODOT Locations'!#REF!&amp;"MAC-DumpRock"</f>
        <v>#REF!</v>
      </c>
    </row>
    <row r="1148" spans="1:2" ht="12.75" customHeight="1" x14ac:dyDescent="0.15">
      <c r="A1148" s="58">
        <f>'HAULING RATES- ODOT Locations'!$G$212</f>
        <v>0</v>
      </c>
      <c r="B1148" s="58" t="str">
        <f>'HAULING RATES- ODOT Locations'!$A$212&amp;"BEL-DumpRock"</f>
        <v>BelmontBEL-DumpRock</v>
      </c>
    </row>
    <row r="1149" spans="1:2" ht="12.75" customHeight="1" x14ac:dyDescent="0.15">
      <c r="A1149" s="58">
        <f>'HAULING RATES- ODOT Locations'!$G$213</f>
        <v>0</v>
      </c>
      <c r="B1149" s="58" t="str">
        <f>'HAULING RATES- ODOT Locations'!$A$213&amp;"STC-DumpRock"</f>
        <v>BelmontSTC-DumpRock</v>
      </c>
    </row>
    <row r="1150" spans="1:2" ht="12.75" customHeight="1" x14ac:dyDescent="0.15">
      <c r="A1150" s="58">
        <f>'HAULING RATES- ODOT Locations'!$G$214</f>
        <v>0</v>
      </c>
      <c r="B1150" s="58" t="str">
        <f>'HAULING RATES- ODOT Locations'!$A$214&amp;"BAR-DumpRock"</f>
        <v>BelmontBAR-DumpRock</v>
      </c>
    </row>
    <row r="1151" spans="1:2" ht="12.75" customHeight="1" x14ac:dyDescent="0.15">
      <c r="A1151" s="58">
        <f>'HAULING RATES- ODOT Locations'!$G$215</f>
        <v>0</v>
      </c>
      <c r="B1151" s="58" t="str">
        <f>'HAULING RATES- ODOT Locations'!$A$215&amp;"SHD-DumpRock"</f>
        <v>BelmontSHD-DumpRock</v>
      </c>
    </row>
    <row r="1152" spans="1:2" ht="12.75" customHeight="1" x14ac:dyDescent="0.15">
      <c r="A1152" s="58">
        <f>'HAULING RATES- ODOT Locations'!$G$216</f>
        <v>0</v>
      </c>
      <c r="B1152" s="58" t="str">
        <f>'HAULING RATES- ODOT Locations'!$A$216&amp;"-DumpRock"</f>
        <v>Carroll-DumpRock</v>
      </c>
    </row>
    <row r="1153" spans="1:2" ht="12.75" customHeight="1" x14ac:dyDescent="0.15">
      <c r="A1153" s="58">
        <f>'HAULING RATES- ODOT Locations'!$G$217</f>
        <v>0</v>
      </c>
      <c r="B1153" s="58" t="str">
        <f>'HAULING RATES- ODOT Locations'!$A$217&amp;"LIS-DumpRock"</f>
        <v>ColumbianaLIS-DumpRock</v>
      </c>
    </row>
    <row r="1154" spans="1:2" ht="12.75" customHeight="1" x14ac:dyDescent="0.15">
      <c r="A1154" s="58">
        <f>'HAULING RATES- ODOT Locations'!$G$218</f>
        <v>0</v>
      </c>
      <c r="B1154" s="58" t="str">
        <f>'HAULING RATES- ODOT Locations'!$A$218&amp;"ELI-DumpRock"</f>
        <v>ColumbianaELI-DumpRock</v>
      </c>
    </row>
    <row r="1155" spans="1:2" ht="12.75" customHeight="1" x14ac:dyDescent="0.15">
      <c r="A1155" s="58">
        <f>'HAULING RATES- ODOT Locations'!$G$219</f>
        <v>0</v>
      </c>
      <c r="B1155" s="58" t="str">
        <f>'HAULING RATES- ODOT Locations'!$A$219&amp;"EPA-DumpRock"</f>
        <v>ColumbianaEPA-DumpRock</v>
      </c>
    </row>
    <row r="1156" spans="1:2" ht="12.75" customHeight="1" x14ac:dyDescent="0.15">
      <c r="A1156" s="58">
        <f>'HAULING RATES- ODOT Locations'!$G$220</f>
        <v>0</v>
      </c>
      <c r="B1156" s="58" t="str">
        <f>'HAULING RATES- ODOT Locations'!$A$220&amp;"CAD-DumpRock"</f>
        <v>HarrisonCAD-DumpRock</v>
      </c>
    </row>
    <row r="1157" spans="1:2" ht="12.75" customHeight="1" x14ac:dyDescent="0.15">
      <c r="A1157" s="58">
        <f>'HAULING RATES- ODOT Locations'!$G$222</f>
        <v>0</v>
      </c>
      <c r="B1157" s="58" t="str">
        <f>'HAULING RATES- ODOT Locations'!$A$222&amp;"FRE-DumpRock"</f>
        <v>HarrisonFRE-DumpRock</v>
      </c>
    </row>
    <row r="1158" spans="1:2" ht="12.75" customHeight="1" x14ac:dyDescent="0.15">
      <c r="A1158" s="58" t="e">
        <f>'HAULING RATES- ODOT Locations'!#REF!</f>
        <v>#REF!</v>
      </c>
      <c r="B1158" s="58" t="e">
        <f>'HAULING RATES- ODOT Locations'!#REF!&amp;"MIL-DumpRock"</f>
        <v>#REF!</v>
      </c>
    </row>
    <row r="1159" spans="1:2" ht="12.75" customHeight="1" x14ac:dyDescent="0.15">
      <c r="A1159" s="58">
        <f>'HAULING RATES- ODOT Locations'!$G$224</f>
        <v>0</v>
      </c>
      <c r="B1159" s="58" t="str">
        <f>'HAULING RATES- ODOT Locations'!$A$224&amp;"NAS-DumpRock"</f>
        <v>HolmesNAS-DumpRock</v>
      </c>
    </row>
    <row r="1160" spans="1:2" ht="12.75" customHeight="1" x14ac:dyDescent="0.15">
      <c r="A1160" s="58" t="e">
        <f>'HAULING RATES- ODOT Locations'!#REF!</f>
        <v>#REF!</v>
      </c>
      <c r="B1160" s="58" t="e">
        <f>'HAULING RATES- ODOT Locations'!#REF!&amp;"WIN-DumpRock"</f>
        <v>#REF!</v>
      </c>
    </row>
    <row r="1161" spans="1:2" ht="12.75" customHeight="1" x14ac:dyDescent="0.15">
      <c r="A1161" s="58" t="e">
        <f>'HAULING RATES- ODOT Locations'!#REF!</f>
        <v>#REF!</v>
      </c>
      <c r="B1161" s="58" t="e">
        <f>'HAULING RATES- ODOT Locations'!#REF!&amp;"STE-DumpRock"</f>
        <v>#REF!</v>
      </c>
    </row>
    <row r="1162" spans="1:2" ht="12.75" customHeight="1" x14ac:dyDescent="0.15">
      <c r="A1162" s="58" t="e">
        <f>'HAULING RATES- ODOT Locations'!#REF!</f>
        <v>#REF!</v>
      </c>
      <c r="B1162" s="58" t="e">
        <f>'HAULING RATES- ODOT Locations'!#REF!&amp;"DIL-DumpRock"</f>
        <v>#REF!</v>
      </c>
    </row>
    <row r="1163" spans="1:2" ht="12.75" customHeight="1" x14ac:dyDescent="0.15">
      <c r="A1163" s="58" t="e">
        <f>'HAULING RATES- ODOT Locations'!#REF!</f>
        <v>#REF!</v>
      </c>
      <c r="B1163" s="58" t="e">
        <f>'HAULING RATES- ODOT Locations'!#REF!&amp;"BER-DumpRock"</f>
        <v>#REF!</v>
      </c>
    </row>
    <row r="1164" spans="1:2" ht="12.75" customHeight="1" x14ac:dyDescent="0.15">
      <c r="A1164" s="58">
        <f>'HAULING RATES- ODOT Locations'!$G$229</f>
        <v>0</v>
      </c>
      <c r="B1164" s="58" t="str">
        <f>'HAULING RATES- ODOT Locations'!$A$229&amp;"NPH-DumpRock"</f>
        <v>TuscarawasNPH-DumpRock</v>
      </c>
    </row>
    <row r="1165" spans="1:2" ht="12.75" customHeight="1" x14ac:dyDescent="0.15">
      <c r="A1165" s="58" t="e">
        <f>'HAULING RATES- ODOT Locations'!#REF!</f>
        <v>#REF!</v>
      </c>
      <c r="B1165" s="58" t="e">
        <f>'HAULING RATES- ODOT Locations'!#REF!&amp;"BOL-DumpRock"</f>
        <v>#REF!</v>
      </c>
    </row>
    <row r="1166" spans="1:2" ht="12.75" customHeight="1" x14ac:dyDescent="0.15">
      <c r="A1166" s="58">
        <f>'HAULING RATES- ODOT Locations'!$G$231</f>
        <v>0</v>
      </c>
      <c r="B1166" s="58" t="str">
        <f>'HAULING RATES- ODOT Locations'!$A$231&amp;"NEW-DumpRock"</f>
        <v>TuscarawasNEW-DumpRock</v>
      </c>
    </row>
    <row r="1167" spans="1:2" ht="12.75" customHeight="1" x14ac:dyDescent="0.15">
      <c r="A1167" s="58">
        <f>'HAULING RATES- ODOT Locations'!$G$232</f>
        <v>0</v>
      </c>
      <c r="B1167" s="58" t="str">
        <f>'HAULING RATES- ODOT Locations'!$A$232&amp;"DEN-DumpRock"</f>
        <v>TuscarawasDEN-DumpRock</v>
      </c>
    </row>
    <row r="1168" spans="1:2" ht="12.75" customHeight="1" x14ac:dyDescent="0.15">
      <c r="A1168" s="58">
        <f>'HAULING RATES- ODOT Locations'!$G$236</f>
        <v>8.5</v>
      </c>
      <c r="B1168" s="58" t="str">
        <f>'HAULING RATES- ODOT Locations'!$A$236&amp;"CLE-DumpRock"</f>
        <v>CuyahogaCLE-DumpRock</v>
      </c>
    </row>
    <row r="1169" spans="1:6" ht="12.75" customHeight="1" x14ac:dyDescent="0.15">
      <c r="A1169" s="58">
        <f>'HAULING RATES- ODOT Locations'!$G$237</f>
        <v>9</v>
      </c>
      <c r="B1169" s="58" t="str">
        <f>'HAULING RATES- ODOT Locations'!$A$237&amp;"IND-DumpRock"</f>
        <v>CuyahogaIND-DumpRock</v>
      </c>
    </row>
    <row r="1170" spans="1:6" ht="12.75" customHeight="1" x14ac:dyDescent="0.15">
      <c r="A1170" s="58" t="e">
        <f>'HAULING RATES- ODOT Locations'!#REF!</f>
        <v>#REF!</v>
      </c>
      <c r="B1170" s="58" t="e">
        <f>'HAULING RATES- ODOT Locations'!#REF!&amp;"MAV-DumpRock"</f>
        <v>#REF!</v>
      </c>
    </row>
    <row r="1171" spans="1:6" ht="12.75" customHeight="1" x14ac:dyDescent="0.15">
      <c r="A1171" s="58">
        <f>'HAULING RATES- ODOT Locations'!$G$240</f>
        <v>10.5</v>
      </c>
      <c r="B1171" s="58" t="str">
        <f>'HAULING RATES- ODOT Locations'!$A$240&amp;"GRC-DumpRock"</f>
        <v>CuyahogaGRC-DumpRock</v>
      </c>
    </row>
    <row r="1172" spans="1:6" ht="12.75" customHeight="1" x14ac:dyDescent="0.15">
      <c r="A1172" s="58">
        <f>'HAULING RATES- ODOT Locations'!$G$242</f>
        <v>10.25</v>
      </c>
      <c r="B1172" s="58" t="str">
        <f>'HAULING RATES- ODOT Locations'!$A$242&amp;"WAR-DumpRock"</f>
        <v>CuyahogaWAR-DumpRock</v>
      </c>
    </row>
    <row r="1173" spans="1:6" ht="12.75" customHeight="1" x14ac:dyDescent="0.15">
      <c r="A1173" s="58">
        <f>'HAULING RATES- ODOT Locations'!$G$243</f>
        <v>16.25</v>
      </c>
      <c r="B1173" s="58" t="str">
        <f>'HAULING RATES- ODOT Locations'!$A$243&amp;"BUR-DumpRock"</f>
        <v>GeaugaBUR-DumpRock</v>
      </c>
    </row>
    <row r="1174" spans="1:6" ht="12.75" customHeight="1" x14ac:dyDescent="0.15">
      <c r="A1174" s="58">
        <f>'HAULING RATES- ODOT Locations'!$G$244</f>
        <v>16.75</v>
      </c>
      <c r="B1174" s="58" t="str">
        <f>'HAULING RATES- ODOT Locations'!$A$244&amp;"MTW-DumpRock"</f>
        <v>GeaugaMTW-DumpRock</v>
      </c>
    </row>
    <row r="1175" spans="1:6" ht="12.75" customHeight="1" x14ac:dyDescent="0.15">
      <c r="A1175" s="58">
        <f>'HAULING RATES- ODOT Locations'!$G$245</f>
        <v>16.25</v>
      </c>
      <c r="B1175" s="58" t="str">
        <f>'HAULING RATES- ODOT Locations'!$A$245&amp;"MUN-DumpRock"</f>
        <v>GeaugaMUN-DumpRock</v>
      </c>
    </row>
    <row r="1176" spans="1:6" ht="12.75" customHeight="1" x14ac:dyDescent="0.15">
      <c r="A1176" s="58">
        <f>'HAULING RATES- ODOT Locations'!$G$246</f>
        <v>16.75</v>
      </c>
      <c r="B1176" s="58" t="str">
        <f>'HAULING RATES- ODOT Locations'!$A$246&amp;"PAR-DumpRock"</f>
        <v>GeaugaPAR-DumpRock</v>
      </c>
    </row>
    <row r="1177" spans="1:6" ht="12.75" customHeight="1" x14ac:dyDescent="0.15">
      <c r="A1177" s="58">
        <f>'HAULING RATES- ODOT Locations'!$G$247</f>
        <v>16.25</v>
      </c>
      <c r="B1177" s="58" t="str">
        <f>'HAULING RATES- ODOT Locations'!$A$247&amp;"PAI-DumpRock"</f>
        <v>LakePAI-DumpRock</v>
      </c>
    </row>
    <row r="1178" spans="1:6" ht="12.75" customHeight="1" x14ac:dyDescent="0.15">
      <c r="A1178" s="58">
        <f>'HAULING RATES- ODOT Locations'!$G$248</f>
        <v>16.25</v>
      </c>
      <c r="B1178" s="58" t="str">
        <f>'HAULING RATES- ODOT Locations'!$A$248&amp;"MAD-DumpRock"</f>
        <v>LakeMAD-DumpRock</v>
      </c>
    </row>
    <row r="1179" spans="1:6" ht="12.75" customHeight="1" x14ac:dyDescent="0.15">
      <c r="A1179" s="60">
        <f>'HAULING RATES- ODOT Locations'!$G$250</f>
        <v>16.25</v>
      </c>
      <c r="B1179" s="60" t="str">
        <f>'HAULING RATES- ODOT Locations'!$A$250&amp;"LER-DumpRock"</f>
        <v>LakeLER-DumpRock</v>
      </c>
      <c r="C1179" s="59"/>
      <c r="D1179" s="59"/>
      <c r="E1179" s="59"/>
      <c r="F1179" s="59"/>
    </row>
  </sheetData>
  <sheetProtection password="EE91" sheet="1" selectLockedCells="1" selectUnlockedCells="1"/>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EW17"/>
  <sheetViews>
    <sheetView workbookViewId="0"/>
  </sheetViews>
  <sheetFormatPr defaultRowHeight="12.75" customHeight="1" x14ac:dyDescent="0.2"/>
  <cols>
    <col min="1" max="1" width="31.28515625" bestFit="1" customWidth="1"/>
    <col min="120" max="120" width="9.140625" customWidth="1"/>
  </cols>
  <sheetData>
    <row r="1" spans="1:153" s="61" customFormat="1" ht="12.75" customHeight="1" x14ac:dyDescent="0.2">
      <c r="A1" s="58" t="e">
        <f t="array" ref="A1:EW1">TRANSPOSE(Summary!A2:A154)</f>
        <v>#REF!</v>
      </c>
      <c r="B1" s="58" t="str">
        <v>(INSERT VENDOR NAME HERE)</v>
      </c>
      <c r="C1" s="58" t="str">
        <v>LAFARGE-MARBLEHEAD "OSBORNE-CLEVELAND"</v>
      </c>
      <c r="D1" s="58" t="str">
        <v>LAFARGE-MARBLEHEAD "OSBORNE-CLEVELAND"</v>
      </c>
      <c r="E1" s="58" t="str">
        <v>04105-28</v>
      </c>
      <c r="F1" s="58" t="str">
        <v>CLEVELAND, OH, 44115</v>
      </c>
      <c r="G1" s="58" t="str">
        <v>CUY</v>
      </c>
      <c r="H1" s="58" t="str">
        <v xml:space="preserve">TOM NOLAN </v>
      </c>
      <c r="I1" s="58" t="str">
        <v>216-696-1220</v>
      </c>
      <c r="J1" s="58">
        <v>60</v>
      </c>
      <c r="K1" s="58">
        <v>1000</v>
      </c>
      <c r="L1" s="58" t="str">
        <v>N/A</v>
      </c>
      <c r="M1" s="58">
        <v>2</v>
      </c>
      <c r="N1" s="58">
        <v>1</v>
      </c>
      <c r="O1" s="58" t="str">
        <v>YES</v>
      </c>
      <c r="P1" s="58" t="str">
        <v>N/A</v>
      </c>
      <c r="Q1" s="58" t="str">
        <v>N/A</v>
      </c>
      <c r="R1" s="58">
        <v>0</v>
      </c>
      <c r="S1" s="58">
        <v>0</v>
      </c>
      <c r="T1" s="58">
        <v>0</v>
      </c>
      <c r="U1" s="58">
        <v>0</v>
      </c>
      <c r="V1" s="58">
        <v>60</v>
      </c>
      <c r="W1" s="58">
        <v>52</v>
      </c>
      <c r="X1" s="58">
        <v>40</v>
      </c>
      <c r="Y1" s="58">
        <v>36</v>
      </c>
      <c r="Z1" s="58">
        <v>0</v>
      </c>
      <c r="AA1" s="58">
        <v>0</v>
      </c>
      <c r="AB1" s="58">
        <v>0</v>
      </c>
      <c r="AC1" s="58">
        <v>0</v>
      </c>
      <c r="AD1" s="58">
        <v>0</v>
      </c>
      <c r="AE1" s="58">
        <v>0</v>
      </c>
      <c r="AF1" s="58">
        <v>0</v>
      </c>
      <c r="AG1" s="58">
        <v>0</v>
      </c>
      <c r="AH1" s="58">
        <v>0</v>
      </c>
      <c r="AI1" s="58">
        <v>0</v>
      </c>
      <c r="AJ1" s="58">
        <v>0</v>
      </c>
      <c r="AK1" s="58">
        <v>0</v>
      </c>
      <c r="AL1" s="58">
        <v>0</v>
      </c>
      <c r="AM1" s="58">
        <v>0</v>
      </c>
      <c r="AN1" s="58">
        <v>0</v>
      </c>
      <c r="AO1" s="58">
        <v>15.85</v>
      </c>
      <c r="AP1" s="58">
        <v>0</v>
      </c>
      <c r="AQ1" s="58">
        <v>0</v>
      </c>
      <c r="AR1" s="58">
        <v>0</v>
      </c>
      <c r="AS1" s="58">
        <v>0</v>
      </c>
      <c r="AT1" s="58">
        <v>0</v>
      </c>
      <c r="AU1" s="58">
        <v>0</v>
      </c>
      <c r="AV1" s="58">
        <v>19.55</v>
      </c>
      <c r="AW1" s="58">
        <v>0</v>
      </c>
      <c r="AX1" s="58">
        <v>0</v>
      </c>
      <c r="AY1" s="58">
        <v>0</v>
      </c>
      <c r="AZ1" s="58">
        <v>19.55</v>
      </c>
      <c r="BA1" s="58">
        <v>0</v>
      </c>
      <c r="BB1" s="58">
        <v>0</v>
      </c>
      <c r="BC1" s="58">
        <v>0</v>
      </c>
      <c r="BD1" s="58">
        <v>0</v>
      </c>
      <c r="BE1" s="58">
        <v>20.05</v>
      </c>
      <c r="BF1" s="58">
        <v>0</v>
      </c>
      <c r="BG1" s="58">
        <v>0</v>
      </c>
      <c r="BH1" s="58">
        <v>0</v>
      </c>
      <c r="BI1" s="58">
        <v>0</v>
      </c>
      <c r="BJ1" s="58">
        <v>0</v>
      </c>
      <c r="BK1" s="58">
        <v>0</v>
      </c>
      <c r="BL1" s="58">
        <v>19.2</v>
      </c>
      <c r="BM1" s="58">
        <v>0</v>
      </c>
      <c r="BN1" s="58">
        <v>0</v>
      </c>
      <c r="BO1" s="58">
        <v>0</v>
      </c>
      <c r="BP1" s="58">
        <v>0</v>
      </c>
      <c r="BQ1" s="58">
        <v>0</v>
      </c>
      <c r="BR1" s="58">
        <v>0</v>
      </c>
      <c r="BS1" s="58">
        <v>0</v>
      </c>
      <c r="BT1" s="58">
        <v>0</v>
      </c>
      <c r="BU1" s="58">
        <v>19.3</v>
      </c>
      <c r="BV1" s="58">
        <v>0</v>
      </c>
      <c r="BW1" s="58">
        <v>0</v>
      </c>
      <c r="BX1" s="58">
        <v>0</v>
      </c>
      <c r="BY1" s="58">
        <v>0</v>
      </c>
      <c r="BZ1" s="58">
        <v>0</v>
      </c>
      <c r="CA1" s="58">
        <v>0</v>
      </c>
      <c r="CB1" s="58">
        <v>0</v>
      </c>
      <c r="CC1" s="58">
        <v>0</v>
      </c>
      <c r="CD1" s="58">
        <v>0</v>
      </c>
      <c r="CE1" s="58">
        <v>0</v>
      </c>
      <c r="CF1" s="58">
        <v>0</v>
      </c>
      <c r="CG1" s="58">
        <v>0</v>
      </c>
      <c r="CH1" s="58">
        <v>0</v>
      </c>
      <c r="CI1" s="58">
        <v>0</v>
      </c>
      <c r="CJ1" s="58">
        <v>0</v>
      </c>
      <c r="CK1" s="58">
        <v>0</v>
      </c>
      <c r="CL1" s="58">
        <v>0</v>
      </c>
      <c r="CM1" s="58">
        <v>0</v>
      </c>
      <c r="CN1" s="58">
        <v>0</v>
      </c>
      <c r="CO1" s="58">
        <v>0</v>
      </c>
      <c r="CP1" s="58">
        <v>0</v>
      </c>
      <c r="CQ1" s="58">
        <v>0</v>
      </c>
      <c r="CR1" s="58">
        <v>0</v>
      </c>
      <c r="CS1" s="58">
        <v>0</v>
      </c>
      <c r="CT1" s="58">
        <v>0</v>
      </c>
      <c r="CU1" s="58">
        <v>0</v>
      </c>
      <c r="CV1" s="58">
        <v>0</v>
      </c>
      <c r="CW1" s="58">
        <v>0</v>
      </c>
      <c r="CX1" s="58">
        <v>0</v>
      </c>
      <c r="CY1" s="58">
        <v>0</v>
      </c>
      <c r="CZ1" s="58">
        <v>0</v>
      </c>
      <c r="DA1" s="58">
        <v>0</v>
      </c>
      <c r="DB1" s="58">
        <v>0</v>
      </c>
      <c r="DC1" s="58">
        <v>0</v>
      </c>
      <c r="DD1" s="58">
        <v>0</v>
      </c>
      <c r="DE1" s="58">
        <v>0</v>
      </c>
      <c r="DF1" s="58">
        <v>0</v>
      </c>
      <c r="DG1" s="58">
        <v>0</v>
      </c>
      <c r="DH1" s="58">
        <v>0</v>
      </c>
      <c r="DI1" s="58">
        <v>0</v>
      </c>
      <c r="DJ1" s="58">
        <v>0</v>
      </c>
      <c r="DK1" s="58">
        <v>0</v>
      </c>
      <c r="DL1" s="58">
        <v>0</v>
      </c>
      <c r="DM1" s="58">
        <v>0</v>
      </c>
      <c r="DN1" s="58">
        <v>0</v>
      </c>
      <c r="DO1" s="58">
        <v>0</v>
      </c>
      <c r="DP1" s="58">
        <v>0</v>
      </c>
      <c r="DQ1" s="58">
        <v>0</v>
      </c>
      <c r="DR1" s="58">
        <v>0</v>
      </c>
      <c r="DS1" s="58">
        <v>0</v>
      </c>
      <c r="DT1" s="58">
        <v>0</v>
      </c>
      <c r="DU1" s="58">
        <v>0</v>
      </c>
      <c r="DV1" s="58">
        <v>0</v>
      </c>
      <c r="DW1" s="58">
        <v>0</v>
      </c>
      <c r="DX1" s="58">
        <v>0</v>
      </c>
      <c r="DY1" s="58">
        <v>0</v>
      </c>
      <c r="DZ1" s="58">
        <v>0</v>
      </c>
      <c r="EA1" s="58">
        <v>0</v>
      </c>
      <c r="EB1" s="59">
        <v>0</v>
      </c>
      <c r="EC1" s="55">
        <v>0</v>
      </c>
      <c r="ED1" s="55">
        <v>0</v>
      </c>
      <c r="EE1" s="55">
        <v>0</v>
      </c>
      <c r="EF1" s="55">
        <v>0</v>
      </c>
      <c r="EG1" s="55">
        <v>0</v>
      </c>
      <c r="EH1" s="58">
        <v>0</v>
      </c>
      <c r="EI1" s="58">
        <v>0</v>
      </c>
      <c r="EJ1" s="58">
        <v>0</v>
      </c>
      <c r="EK1" s="58">
        <v>6</v>
      </c>
      <c r="EL1" s="58" t="str">
        <v>Yes</v>
      </c>
      <c r="EM1" s="58">
        <v>18</v>
      </c>
      <c r="EN1" s="60">
        <v>2</v>
      </c>
      <c r="EO1" s="61" t="str">
        <v>No</v>
      </c>
      <c r="EP1" s="61">
        <v>0</v>
      </c>
      <c r="EQ1" s="61">
        <v>10</v>
      </c>
      <c r="ER1" s="61" t="str">
        <v>Yes</v>
      </c>
      <c r="ES1" s="61">
        <v>12</v>
      </c>
      <c r="ET1" s="61">
        <v>2</v>
      </c>
      <c r="EU1" s="61" t="str">
        <v>No</v>
      </c>
      <c r="EV1" s="61">
        <v>0</v>
      </c>
      <c r="EW1" s="61">
        <v>4.9000000000000004</v>
      </c>
    </row>
    <row r="2" spans="1:153" s="61" customFormat="1" ht="12.75" customHeight="1" x14ac:dyDescent="0.2"/>
    <row r="3" spans="1:153" s="61" customFormat="1" ht="12.75" customHeight="1" x14ac:dyDescent="0.2"/>
    <row r="4" spans="1:153" s="61" customFormat="1" ht="12.75" customHeight="1" x14ac:dyDescent="0.2"/>
    <row r="5" spans="1:153" s="61" customFormat="1" ht="12.75" customHeight="1" x14ac:dyDescent="0.2"/>
    <row r="6" spans="1:153" s="61" customFormat="1" ht="12.75" customHeight="1" x14ac:dyDescent="0.2"/>
    <row r="7" spans="1:153" s="61" customFormat="1" ht="12.75" customHeight="1" x14ac:dyDescent="0.2"/>
    <row r="8" spans="1:153" s="61" customFormat="1" ht="12.75" customHeight="1" x14ac:dyDescent="0.2"/>
    <row r="9" spans="1:153" s="61" customFormat="1" ht="12.75" customHeight="1" x14ac:dyDescent="0.2"/>
    <row r="10" spans="1:153" s="61" customFormat="1" ht="12.75" customHeight="1" x14ac:dyDescent="0.2"/>
    <row r="11" spans="1:153" s="61" customFormat="1" ht="12.75" customHeight="1" x14ac:dyDescent="0.2"/>
    <row r="12" spans="1:153" s="61" customFormat="1" ht="12.75" customHeight="1" x14ac:dyDescent="0.2"/>
    <row r="13" spans="1:153" s="61" customFormat="1" ht="12.75" customHeight="1" x14ac:dyDescent="0.2"/>
    <row r="14" spans="1:153" s="61" customFormat="1" ht="12.75" customHeight="1" x14ac:dyDescent="0.2"/>
    <row r="15" spans="1:153" s="61" customFormat="1" ht="12.75" customHeight="1" x14ac:dyDescent="0.2"/>
    <row r="16" spans="1:153" s="61" customFormat="1" ht="12.75" customHeight="1" x14ac:dyDescent="0.2"/>
    <row r="17" s="61" customFormat="1" ht="12.75" customHeight="1" x14ac:dyDescent="0.2"/>
  </sheetData>
  <sheetProtection password="EE91" sheet="1" selectLockedCells="1" selectUnlockedCells="1"/>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385"/>
  <sheetViews>
    <sheetView workbookViewId="0">
      <selection activeCell="C2" sqref="C2"/>
    </sheetView>
  </sheetViews>
  <sheetFormatPr defaultRowHeight="12.75" customHeight="1" x14ac:dyDescent="0.2"/>
  <cols>
    <col min="1" max="1" width="12.5703125" bestFit="1" customWidth="1"/>
    <col min="3" max="3" width="64.140625" style="53" bestFit="1" customWidth="1"/>
    <col min="9" max="9" width="31.42578125" customWidth="1"/>
  </cols>
  <sheetData>
    <row r="1" spans="1:9" ht="12.75" customHeight="1" x14ac:dyDescent="0.2">
      <c r="A1" s="47" t="s">
        <v>28</v>
      </c>
      <c r="C1" s="56" t="s">
        <v>43</v>
      </c>
      <c r="E1" s="56" t="s">
        <v>45</v>
      </c>
    </row>
    <row r="2" spans="1:9" ht="12.75" customHeight="1" x14ac:dyDescent="0.2">
      <c r="A2" s="48" t="s">
        <v>186</v>
      </c>
      <c r="C2" s="62" t="s">
        <v>229</v>
      </c>
      <c r="E2" s="55" t="s">
        <v>18</v>
      </c>
      <c r="I2" t="s">
        <v>210</v>
      </c>
    </row>
    <row r="3" spans="1:9" ht="12.75" customHeight="1" x14ac:dyDescent="0.2">
      <c r="A3" s="48" t="s">
        <v>113</v>
      </c>
      <c r="C3" s="62" t="s">
        <v>230</v>
      </c>
      <c r="E3" s="55" t="s">
        <v>19</v>
      </c>
      <c r="I3" t="s">
        <v>211</v>
      </c>
    </row>
    <row r="4" spans="1:9" ht="12.75" customHeight="1" x14ac:dyDescent="0.2">
      <c r="A4" s="48" t="s">
        <v>135</v>
      </c>
      <c r="C4" s="62" t="s">
        <v>231</v>
      </c>
      <c r="I4" t="s">
        <v>212</v>
      </c>
    </row>
    <row r="5" spans="1:9" ht="12.75" customHeight="1" x14ac:dyDescent="0.2">
      <c r="A5" s="48" t="s">
        <v>144</v>
      </c>
      <c r="C5" s="62" t="s">
        <v>232</v>
      </c>
      <c r="I5" t="s">
        <v>213</v>
      </c>
    </row>
    <row r="6" spans="1:9" ht="12.75" customHeight="1" x14ac:dyDescent="0.2">
      <c r="A6" s="48" t="s">
        <v>195</v>
      </c>
      <c r="C6" s="62" t="s">
        <v>233</v>
      </c>
      <c r="I6" t="s">
        <v>207</v>
      </c>
    </row>
    <row r="7" spans="1:9" ht="12.75" customHeight="1" x14ac:dyDescent="0.2">
      <c r="A7" s="48" t="s">
        <v>168</v>
      </c>
      <c r="C7" s="62" t="s">
        <v>234</v>
      </c>
      <c r="I7" t="s">
        <v>206</v>
      </c>
    </row>
    <row r="8" spans="1:9" ht="12.75" customHeight="1" x14ac:dyDescent="0.2">
      <c r="A8" s="48" t="s">
        <v>5</v>
      </c>
      <c r="C8" s="62" t="s">
        <v>235</v>
      </c>
      <c r="I8" t="s">
        <v>208</v>
      </c>
    </row>
    <row r="9" spans="1:9" ht="12.75" customHeight="1" x14ac:dyDescent="0.2">
      <c r="A9" s="48" t="s">
        <v>187</v>
      </c>
      <c r="C9" s="62" t="s">
        <v>236</v>
      </c>
      <c r="I9" t="s">
        <v>209</v>
      </c>
    </row>
    <row r="10" spans="1:9" ht="12.75" customHeight="1" x14ac:dyDescent="0.2">
      <c r="A10" s="48" t="s">
        <v>178</v>
      </c>
      <c r="C10" s="62" t="s">
        <v>237</v>
      </c>
      <c r="I10" t="s">
        <v>214</v>
      </c>
    </row>
    <row r="11" spans="1:9" ht="12.75" customHeight="1" x14ac:dyDescent="0.2">
      <c r="A11" s="48" t="s">
        <v>6</v>
      </c>
      <c r="C11" s="62" t="s">
        <v>238</v>
      </c>
      <c r="I11" t="s">
        <v>224</v>
      </c>
    </row>
    <row r="12" spans="1:9" ht="12.75" customHeight="1" x14ac:dyDescent="0.2">
      <c r="A12" s="48" t="s">
        <v>169</v>
      </c>
      <c r="C12" s="62" t="s">
        <v>239</v>
      </c>
      <c r="I12" t="s">
        <v>215</v>
      </c>
    </row>
    <row r="13" spans="1:9" ht="12.75" customHeight="1" x14ac:dyDescent="0.2">
      <c r="A13" s="48" t="s">
        <v>170</v>
      </c>
      <c r="C13" s="62" t="s">
        <v>621</v>
      </c>
      <c r="I13" t="s">
        <v>216</v>
      </c>
    </row>
    <row r="14" spans="1:9" ht="12.75" customHeight="1" x14ac:dyDescent="0.2">
      <c r="A14" s="48" t="s">
        <v>179</v>
      </c>
      <c r="C14" s="62" t="s">
        <v>240</v>
      </c>
      <c r="I14" t="s">
        <v>217</v>
      </c>
    </row>
    <row r="15" spans="1:9" ht="12.75" customHeight="1" x14ac:dyDescent="0.2">
      <c r="A15" s="48" t="s">
        <v>180</v>
      </c>
      <c r="C15" s="62" t="s">
        <v>241</v>
      </c>
      <c r="I15" t="s">
        <v>218</v>
      </c>
    </row>
    <row r="16" spans="1:9" ht="12.75" customHeight="1" x14ac:dyDescent="0.2">
      <c r="A16" s="48" t="s">
        <v>13</v>
      </c>
      <c r="C16" s="62" t="s">
        <v>242</v>
      </c>
      <c r="I16" t="s">
        <v>219</v>
      </c>
    </row>
    <row r="17" spans="1:9" ht="12.75" customHeight="1" x14ac:dyDescent="0.2">
      <c r="A17" s="48" t="s">
        <v>7</v>
      </c>
      <c r="C17" s="62" t="s">
        <v>609</v>
      </c>
      <c r="I17" t="s">
        <v>220</v>
      </c>
    </row>
    <row r="18" spans="1:9" ht="12.75" customHeight="1" x14ac:dyDescent="0.2">
      <c r="A18" s="48" t="s">
        <v>151</v>
      </c>
      <c r="C18" s="62" t="s">
        <v>243</v>
      </c>
      <c r="I18" t="s">
        <v>221</v>
      </c>
    </row>
    <row r="19" spans="1:9" ht="12.75" customHeight="1" x14ac:dyDescent="0.2">
      <c r="A19" s="48" t="s">
        <v>136</v>
      </c>
      <c r="C19" s="62" t="s">
        <v>244</v>
      </c>
      <c r="I19" t="s">
        <v>225</v>
      </c>
    </row>
    <row r="20" spans="1:9" ht="12.75" customHeight="1" x14ac:dyDescent="0.2">
      <c r="A20" s="48" t="s">
        <v>13</v>
      </c>
      <c r="C20" s="62" t="s">
        <v>245</v>
      </c>
      <c r="I20" t="s">
        <v>222</v>
      </c>
    </row>
    <row r="21" spans="1:9" ht="12.75" customHeight="1" x14ac:dyDescent="0.2">
      <c r="A21" s="48" t="s">
        <v>171</v>
      </c>
      <c r="C21" s="62" t="s">
        <v>246</v>
      </c>
      <c r="I21" t="s">
        <v>223</v>
      </c>
    </row>
    <row r="22" spans="1:9" ht="12.75" customHeight="1" x14ac:dyDescent="0.2">
      <c r="A22" s="48" t="s">
        <v>114</v>
      </c>
      <c r="C22" s="62" t="s">
        <v>247</v>
      </c>
      <c r="I22" t="s">
        <v>226</v>
      </c>
    </row>
    <row r="23" spans="1:9" ht="12.75" customHeight="1" x14ac:dyDescent="0.2">
      <c r="A23" s="48" t="s">
        <v>159</v>
      </c>
      <c r="C23" s="62" t="s">
        <v>248</v>
      </c>
      <c r="I23" t="s">
        <v>227</v>
      </c>
    </row>
    <row r="24" spans="1:9" ht="12.75" customHeight="1" x14ac:dyDescent="0.2">
      <c r="A24" s="48" t="s">
        <v>137</v>
      </c>
      <c r="C24" s="62" t="s">
        <v>249</v>
      </c>
      <c r="I24" t="s">
        <v>228</v>
      </c>
    </row>
    <row r="25" spans="1:9" ht="12.75" customHeight="1" x14ac:dyDescent="0.2">
      <c r="A25" s="48" t="s">
        <v>152</v>
      </c>
      <c r="C25" s="62" t="s">
        <v>250</v>
      </c>
      <c r="I25" t="s">
        <v>226</v>
      </c>
    </row>
    <row r="26" spans="1:9" ht="12.75" customHeight="1" x14ac:dyDescent="0.2">
      <c r="A26" s="48" t="s">
        <v>160</v>
      </c>
      <c r="C26" s="62" t="s">
        <v>251</v>
      </c>
      <c r="I26" t="s">
        <v>227</v>
      </c>
    </row>
    <row r="27" spans="1:9" ht="12.75" customHeight="1" x14ac:dyDescent="0.2">
      <c r="A27" s="48" t="s">
        <v>161</v>
      </c>
      <c r="C27" s="62" t="s">
        <v>252</v>
      </c>
      <c r="I27" t="s">
        <v>228</v>
      </c>
    </row>
    <row r="28" spans="1:9" ht="12.75" customHeight="1" x14ac:dyDescent="0.2">
      <c r="A28" s="48" t="s">
        <v>122</v>
      </c>
      <c r="C28" s="62" t="s">
        <v>253</v>
      </c>
      <c r="I28" t="s">
        <v>665</v>
      </c>
    </row>
    <row r="29" spans="1:9" ht="12.75" customHeight="1" x14ac:dyDescent="0.2">
      <c r="A29" s="48" t="s">
        <v>196</v>
      </c>
      <c r="C29" s="62" t="s">
        <v>255</v>
      </c>
      <c r="I29" t="s">
        <v>667</v>
      </c>
    </row>
    <row r="30" spans="1:9" ht="12.75" customHeight="1" x14ac:dyDescent="0.2">
      <c r="A30" s="48" t="s">
        <v>14</v>
      </c>
      <c r="C30" s="62" t="s">
        <v>254</v>
      </c>
      <c r="I30" t="s">
        <v>666</v>
      </c>
    </row>
    <row r="31" spans="1:9" ht="12.75" customHeight="1" x14ac:dyDescent="0.2">
      <c r="A31" s="48" t="s">
        <v>181</v>
      </c>
      <c r="C31" s="62" t="s">
        <v>256</v>
      </c>
      <c r="I31" t="s">
        <v>84</v>
      </c>
    </row>
    <row r="32" spans="1:9" ht="12.75" customHeight="1" x14ac:dyDescent="0.2">
      <c r="A32" s="48" t="s">
        <v>153</v>
      </c>
      <c r="C32" s="62" t="s">
        <v>257</v>
      </c>
      <c r="I32" t="s">
        <v>85</v>
      </c>
    </row>
    <row r="33" spans="1:9" ht="12.75" customHeight="1" x14ac:dyDescent="0.2">
      <c r="A33" s="48" t="s">
        <v>182</v>
      </c>
      <c r="C33" s="62" t="s">
        <v>258</v>
      </c>
      <c r="I33" t="s">
        <v>86</v>
      </c>
    </row>
    <row r="34" spans="1:9" ht="12.75" customHeight="1" x14ac:dyDescent="0.2">
      <c r="A34" s="48" t="s">
        <v>115</v>
      </c>
      <c r="C34" s="62" t="s">
        <v>259</v>
      </c>
      <c r="I34" t="s">
        <v>29</v>
      </c>
    </row>
    <row r="35" spans="1:9" ht="12.75" customHeight="1" x14ac:dyDescent="0.2">
      <c r="A35" s="48" t="s">
        <v>116</v>
      </c>
      <c r="C35" s="62" t="s">
        <v>260</v>
      </c>
      <c r="I35" t="s">
        <v>672</v>
      </c>
    </row>
    <row r="36" spans="1:9" ht="12.75" customHeight="1" x14ac:dyDescent="0.2">
      <c r="A36" s="48" t="s">
        <v>8</v>
      </c>
      <c r="C36" s="62" t="s">
        <v>261</v>
      </c>
      <c r="I36" t="s">
        <v>673</v>
      </c>
    </row>
    <row r="37" spans="1:9" ht="12.75" customHeight="1" x14ac:dyDescent="0.2">
      <c r="A37" s="48" t="s">
        <v>123</v>
      </c>
      <c r="C37" s="62" t="s">
        <v>262</v>
      </c>
      <c r="I37" t="s">
        <v>674</v>
      </c>
    </row>
    <row r="38" spans="1:9" ht="12.75" customHeight="1" x14ac:dyDescent="0.2">
      <c r="A38" s="48" t="s">
        <v>188</v>
      </c>
      <c r="C38" s="62" t="s">
        <v>263</v>
      </c>
      <c r="I38" t="s">
        <v>675</v>
      </c>
    </row>
    <row r="39" spans="1:9" ht="12.75" customHeight="1" x14ac:dyDescent="0.2">
      <c r="A39" s="48" t="s">
        <v>197</v>
      </c>
      <c r="C39" s="62" t="s">
        <v>264</v>
      </c>
      <c r="I39" t="s">
        <v>676</v>
      </c>
    </row>
    <row r="40" spans="1:9" ht="12.75" customHeight="1" x14ac:dyDescent="0.2">
      <c r="A40" s="48" t="s">
        <v>9</v>
      </c>
      <c r="C40" s="62" t="s">
        <v>265</v>
      </c>
      <c r="I40" t="s">
        <v>677</v>
      </c>
    </row>
    <row r="41" spans="1:9" ht="12.75" customHeight="1" x14ac:dyDescent="0.2">
      <c r="A41" s="48" t="s">
        <v>138</v>
      </c>
      <c r="C41" s="62" t="s">
        <v>266</v>
      </c>
      <c r="I41" t="s">
        <v>678</v>
      </c>
    </row>
    <row r="42" spans="1:9" ht="12.75" customHeight="1" x14ac:dyDescent="0.2">
      <c r="A42" s="48" t="s">
        <v>189</v>
      </c>
      <c r="C42" s="62" t="s">
        <v>267</v>
      </c>
      <c r="I42" t="s">
        <v>679</v>
      </c>
    </row>
    <row r="43" spans="1:9" ht="12.75" customHeight="1" x14ac:dyDescent="0.2">
      <c r="A43" s="48" t="s">
        <v>10</v>
      </c>
      <c r="C43" s="62" t="s">
        <v>268</v>
      </c>
      <c r="I43" t="s">
        <v>680</v>
      </c>
    </row>
    <row r="44" spans="1:9" ht="12.75" customHeight="1" x14ac:dyDescent="0.2">
      <c r="A44" s="48" t="s">
        <v>154</v>
      </c>
      <c r="C44" s="62" t="s">
        <v>269</v>
      </c>
      <c r="I44" t="s">
        <v>681</v>
      </c>
    </row>
    <row r="45" spans="1:9" ht="12.75" customHeight="1" x14ac:dyDescent="0.2">
      <c r="A45" s="48" t="s">
        <v>15</v>
      </c>
      <c r="C45" s="62" t="s">
        <v>270</v>
      </c>
      <c r="I45" t="s">
        <v>682</v>
      </c>
    </row>
    <row r="46" spans="1:9" ht="12.75" customHeight="1" x14ac:dyDescent="0.2">
      <c r="A46" s="48" t="s">
        <v>190</v>
      </c>
      <c r="C46" s="62" t="s">
        <v>271</v>
      </c>
      <c r="I46" t="s">
        <v>683</v>
      </c>
    </row>
    <row r="47" spans="1:9" ht="12.75" customHeight="1" x14ac:dyDescent="0.2">
      <c r="A47" s="48" t="s">
        <v>155</v>
      </c>
      <c r="C47" s="62" t="s">
        <v>272</v>
      </c>
      <c r="I47" t="s">
        <v>684</v>
      </c>
    </row>
    <row r="48" spans="1:9" ht="12.75" customHeight="1" x14ac:dyDescent="0.2">
      <c r="A48" s="48" t="s">
        <v>172</v>
      </c>
      <c r="C48" s="62" t="s">
        <v>273</v>
      </c>
      <c r="I48" t="s">
        <v>685</v>
      </c>
    </row>
    <row r="49" spans="1:9" ht="12.75" customHeight="1" x14ac:dyDescent="0.2">
      <c r="A49" s="48" t="s">
        <v>139</v>
      </c>
      <c r="C49" s="62" t="s">
        <v>274</v>
      </c>
      <c r="I49" t="s">
        <v>686</v>
      </c>
    </row>
    <row r="50" spans="1:9" ht="12.75" customHeight="1" x14ac:dyDescent="0.2">
      <c r="A50" s="48" t="s">
        <v>124</v>
      </c>
      <c r="C50" s="62" t="s">
        <v>275</v>
      </c>
      <c r="I50" t="s">
        <v>687</v>
      </c>
    </row>
    <row r="51" spans="1:9" ht="12.75" customHeight="1" x14ac:dyDescent="0.2">
      <c r="A51" s="48" t="s">
        <v>162</v>
      </c>
      <c r="C51" s="62" t="s">
        <v>276</v>
      </c>
      <c r="I51" t="s">
        <v>688</v>
      </c>
    </row>
    <row r="52" spans="1:9" ht="12.75" customHeight="1" x14ac:dyDescent="0.2">
      <c r="A52" s="48" t="s">
        <v>145</v>
      </c>
      <c r="C52" s="62" t="s">
        <v>277</v>
      </c>
      <c r="I52" t="s">
        <v>689</v>
      </c>
    </row>
    <row r="53" spans="1:9" ht="12.75" customHeight="1" x14ac:dyDescent="0.2">
      <c r="A53" s="48" t="s">
        <v>163</v>
      </c>
      <c r="C53" s="62" t="s">
        <v>278</v>
      </c>
      <c r="I53" t="s">
        <v>690</v>
      </c>
    </row>
    <row r="54" spans="1:9" ht="12.75" customHeight="1" x14ac:dyDescent="0.2">
      <c r="A54" s="48" t="s">
        <v>140</v>
      </c>
      <c r="C54" s="62" t="s">
        <v>279</v>
      </c>
      <c r="I54" t="s">
        <v>691</v>
      </c>
    </row>
    <row r="55" spans="1:9" ht="12.75" customHeight="1" x14ac:dyDescent="0.2">
      <c r="A55" s="48" t="s">
        <v>198</v>
      </c>
      <c r="C55" s="62" t="s">
        <v>280</v>
      </c>
      <c r="I55" t="s">
        <v>692</v>
      </c>
    </row>
    <row r="56" spans="1:9" ht="12.75" customHeight="1" x14ac:dyDescent="0.2">
      <c r="A56" s="48" t="s">
        <v>173</v>
      </c>
      <c r="C56" s="62" t="s">
        <v>281</v>
      </c>
      <c r="I56" t="s">
        <v>693</v>
      </c>
    </row>
    <row r="57" spans="1:9" ht="12.75" customHeight="1" x14ac:dyDescent="0.2">
      <c r="A57" s="48" t="s">
        <v>174</v>
      </c>
      <c r="C57" s="62" t="s">
        <v>282</v>
      </c>
      <c r="I57" t="s">
        <v>694</v>
      </c>
    </row>
    <row r="58" spans="1:9" ht="12.75" customHeight="1" x14ac:dyDescent="0.2">
      <c r="A58" s="48" t="s">
        <v>199</v>
      </c>
      <c r="C58" s="62" t="s">
        <v>283</v>
      </c>
      <c r="I58" t="s">
        <v>695</v>
      </c>
    </row>
    <row r="59" spans="1:9" ht="12.75" customHeight="1" x14ac:dyDescent="0.2">
      <c r="A59" s="48" t="s">
        <v>175</v>
      </c>
      <c r="C59" s="62" t="s">
        <v>284</v>
      </c>
      <c r="I59" t="s">
        <v>696</v>
      </c>
    </row>
    <row r="60" spans="1:9" ht="12.75" customHeight="1" x14ac:dyDescent="0.2">
      <c r="A60" s="48" t="s">
        <v>0</v>
      </c>
      <c r="C60" s="62" t="s">
        <v>285</v>
      </c>
      <c r="I60" t="s">
        <v>697</v>
      </c>
    </row>
    <row r="61" spans="1:9" ht="12.75" customHeight="1" x14ac:dyDescent="0.2">
      <c r="A61" s="48" t="s">
        <v>164</v>
      </c>
      <c r="C61" s="62" t="s">
        <v>286</v>
      </c>
      <c r="I61" t="s">
        <v>698</v>
      </c>
    </row>
    <row r="62" spans="1:9" ht="12.75" customHeight="1" x14ac:dyDescent="0.2">
      <c r="A62" s="48" t="s">
        <v>156</v>
      </c>
      <c r="C62" s="62" t="s">
        <v>287</v>
      </c>
      <c r="I62" t="s">
        <v>699</v>
      </c>
    </row>
    <row r="63" spans="1:9" ht="12.75" customHeight="1" x14ac:dyDescent="0.2">
      <c r="A63" s="48" t="s">
        <v>1</v>
      </c>
      <c r="C63" s="62" t="s">
        <v>288</v>
      </c>
      <c r="I63" t="s">
        <v>700</v>
      </c>
    </row>
    <row r="64" spans="1:9" ht="12.75" customHeight="1" x14ac:dyDescent="0.2">
      <c r="A64" s="48" t="s">
        <v>125</v>
      </c>
      <c r="C64" s="62" t="s">
        <v>289</v>
      </c>
      <c r="I64" t="s">
        <v>701</v>
      </c>
    </row>
    <row r="65" spans="1:9" ht="12.75" customHeight="1" x14ac:dyDescent="0.2">
      <c r="A65" s="48" t="s">
        <v>117</v>
      </c>
      <c r="C65" s="62" t="s">
        <v>604</v>
      </c>
      <c r="I65" t="s">
        <v>702</v>
      </c>
    </row>
    <row r="66" spans="1:9" ht="12.75" customHeight="1" x14ac:dyDescent="0.2">
      <c r="A66" s="48" t="s">
        <v>157</v>
      </c>
      <c r="C66" s="62" t="s">
        <v>290</v>
      </c>
      <c r="I66" t="s">
        <v>672</v>
      </c>
    </row>
    <row r="67" spans="1:9" ht="12.75" customHeight="1" x14ac:dyDescent="0.2">
      <c r="A67" s="48" t="s">
        <v>165</v>
      </c>
      <c r="C67" s="62" t="s">
        <v>291</v>
      </c>
      <c r="I67" t="s">
        <v>673</v>
      </c>
    </row>
    <row r="68" spans="1:9" ht="12.75" customHeight="1" x14ac:dyDescent="0.2">
      <c r="A68" s="48" t="s">
        <v>191</v>
      </c>
      <c r="C68" s="62" t="s">
        <v>292</v>
      </c>
      <c r="I68" t="s">
        <v>674</v>
      </c>
    </row>
    <row r="69" spans="1:9" ht="12.75" customHeight="1" x14ac:dyDescent="0.2">
      <c r="A69" s="48" t="s">
        <v>146</v>
      </c>
      <c r="C69" s="62" t="s">
        <v>293</v>
      </c>
      <c r="I69" t="s">
        <v>675</v>
      </c>
    </row>
    <row r="70" spans="1:9" ht="12.75" customHeight="1" x14ac:dyDescent="0.2">
      <c r="A70" s="48" t="s">
        <v>183</v>
      </c>
      <c r="C70" s="62" t="s">
        <v>294</v>
      </c>
      <c r="I70" t="s">
        <v>676</v>
      </c>
    </row>
    <row r="71" spans="1:9" ht="12.75" customHeight="1" x14ac:dyDescent="0.2">
      <c r="A71" s="48" t="s">
        <v>118</v>
      </c>
      <c r="C71" s="62" t="s">
        <v>295</v>
      </c>
      <c r="I71" t="s">
        <v>677</v>
      </c>
    </row>
    <row r="72" spans="1:9" ht="12.75" customHeight="1" x14ac:dyDescent="0.2">
      <c r="A72" s="48" t="s">
        <v>141</v>
      </c>
      <c r="C72" s="62" t="s">
        <v>296</v>
      </c>
      <c r="I72" t="s">
        <v>678</v>
      </c>
    </row>
    <row r="73" spans="1:9" ht="12.75" customHeight="1" x14ac:dyDescent="0.2">
      <c r="A73" s="48" t="s">
        <v>192</v>
      </c>
      <c r="C73" s="62" t="s">
        <v>297</v>
      </c>
      <c r="I73" t="s">
        <v>679</v>
      </c>
    </row>
    <row r="74" spans="1:9" ht="12.75" customHeight="1" x14ac:dyDescent="0.2">
      <c r="A74" s="48" t="s">
        <v>127</v>
      </c>
      <c r="C74" s="62" t="s">
        <v>298</v>
      </c>
      <c r="I74" t="s">
        <v>680</v>
      </c>
    </row>
    <row r="75" spans="1:9" ht="12.75" customHeight="1" x14ac:dyDescent="0.2">
      <c r="A75" s="48" t="s">
        <v>193</v>
      </c>
      <c r="C75" s="62" t="s">
        <v>299</v>
      </c>
      <c r="I75" t="s">
        <v>681</v>
      </c>
    </row>
    <row r="76" spans="1:9" ht="12.75" customHeight="1" x14ac:dyDescent="0.2">
      <c r="A76" s="48" t="s">
        <v>128</v>
      </c>
      <c r="C76" s="62" t="s">
        <v>300</v>
      </c>
      <c r="I76" t="s">
        <v>682</v>
      </c>
    </row>
    <row r="77" spans="1:9" ht="12.75" customHeight="1" x14ac:dyDescent="0.2">
      <c r="A77" s="48" t="s">
        <v>176</v>
      </c>
      <c r="C77" s="62" t="s">
        <v>301</v>
      </c>
      <c r="I77" t="s">
        <v>683</v>
      </c>
    </row>
    <row r="78" spans="1:9" ht="12.75" customHeight="1" x14ac:dyDescent="0.2">
      <c r="A78" s="48" t="s">
        <v>147</v>
      </c>
      <c r="C78" s="62" t="s">
        <v>302</v>
      </c>
      <c r="I78" t="s">
        <v>684</v>
      </c>
    </row>
    <row r="79" spans="1:9" ht="12.75" customHeight="1" x14ac:dyDescent="0.2">
      <c r="A79" s="48" t="s">
        <v>148</v>
      </c>
      <c r="C79" s="62" t="s">
        <v>303</v>
      </c>
      <c r="I79" t="s">
        <v>685</v>
      </c>
    </row>
    <row r="80" spans="1:9" ht="12.75" customHeight="1" x14ac:dyDescent="0.2">
      <c r="A80" s="48" t="s">
        <v>149</v>
      </c>
      <c r="C80" s="62" t="s">
        <v>306</v>
      </c>
      <c r="I80" t="s">
        <v>686</v>
      </c>
    </row>
    <row r="81" spans="1:9" ht="12.75" customHeight="1" x14ac:dyDescent="0.2">
      <c r="A81" s="48" t="s">
        <v>11</v>
      </c>
      <c r="C81" s="62" t="s">
        <v>304</v>
      </c>
      <c r="I81" t="s">
        <v>687</v>
      </c>
    </row>
    <row r="82" spans="1:9" ht="12.75" customHeight="1" x14ac:dyDescent="0.2">
      <c r="A82" s="48" t="s">
        <v>166</v>
      </c>
      <c r="C82" s="62" t="s">
        <v>305</v>
      </c>
      <c r="I82" t="s">
        <v>688</v>
      </c>
    </row>
    <row r="83" spans="1:9" ht="12.75" customHeight="1" x14ac:dyDescent="0.2">
      <c r="A83" s="48" t="s">
        <v>119</v>
      </c>
      <c r="C83" s="62" t="s">
        <v>307</v>
      </c>
      <c r="I83" t="s">
        <v>689</v>
      </c>
    </row>
    <row r="84" spans="1:9" ht="12.75" customHeight="1" x14ac:dyDescent="0.2">
      <c r="A84" s="48" t="s">
        <v>2</v>
      </c>
      <c r="C84" s="62" t="s">
        <v>308</v>
      </c>
      <c r="I84" t="s">
        <v>690</v>
      </c>
    </row>
    <row r="85" spans="1:9" ht="12.75" customHeight="1" x14ac:dyDescent="0.2">
      <c r="A85" s="48" t="s">
        <v>184</v>
      </c>
      <c r="C85" s="62" t="s">
        <v>309</v>
      </c>
      <c r="I85" t="s">
        <v>691</v>
      </c>
    </row>
    <row r="86" spans="1:9" ht="12.75" customHeight="1" x14ac:dyDescent="0.2">
      <c r="A86" s="48" t="s">
        <v>3</v>
      </c>
      <c r="C86" s="62" t="s">
        <v>310</v>
      </c>
      <c r="I86" t="s">
        <v>692</v>
      </c>
    </row>
    <row r="87" spans="1:9" ht="12.75" customHeight="1" x14ac:dyDescent="0.2">
      <c r="A87" s="48" t="s">
        <v>142</v>
      </c>
      <c r="C87" s="62" t="s">
        <v>311</v>
      </c>
      <c r="I87" t="s">
        <v>693</v>
      </c>
    </row>
    <row r="88" spans="1:9" ht="12.75" customHeight="1" x14ac:dyDescent="0.2">
      <c r="A88" s="48" t="s">
        <v>130</v>
      </c>
      <c r="C88" s="62" t="s">
        <v>312</v>
      </c>
      <c r="I88" t="s">
        <v>694</v>
      </c>
    </row>
    <row r="89" spans="1:9" ht="12.75" customHeight="1" x14ac:dyDescent="0.2">
      <c r="A89" s="48" t="s">
        <v>132</v>
      </c>
      <c r="C89" s="62" t="s">
        <v>313</v>
      </c>
      <c r="I89" t="s">
        <v>695</v>
      </c>
    </row>
    <row r="90" spans="1:9" ht="12.75" customHeight="1" x14ac:dyDescent="0.2">
      <c r="A90" s="48" t="s">
        <v>120</v>
      </c>
      <c r="C90" s="62" t="s">
        <v>314</v>
      </c>
      <c r="I90" t="s">
        <v>696</v>
      </c>
    </row>
    <row r="91" spans="1:9" ht="12.75" customHeight="1" x14ac:dyDescent="0.2">
      <c r="C91" s="62" t="s">
        <v>315</v>
      </c>
      <c r="I91" t="s">
        <v>697</v>
      </c>
    </row>
    <row r="92" spans="1:9" ht="12.75" customHeight="1" x14ac:dyDescent="0.2">
      <c r="C92" s="62" t="s">
        <v>316</v>
      </c>
      <c r="I92" t="s">
        <v>698</v>
      </c>
    </row>
    <row r="93" spans="1:9" ht="12.75" customHeight="1" x14ac:dyDescent="0.2">
      <c r="C93" s="62" t="s">
        <v>317</v>
      </c>
      <c r="I93" t="s">
        <v>699</v>
      </c>
    </row>
    <row r="94" spans="1:9" ht="12.75" customHeight="1" x14ac:dyDescent="0.2">
      <c r="C94" s="62" t="s">
        <v>318</v>
      </c>
      <c r="I94" t="s">
        <v>672</v>
      </c>
    </row>
    <row r="95" spans="1:9" ht="12.75" customHeight="1" x14ac:dyDescent="0.2">
      <c r="C95" s="62" t="s">
        <v>319</v>
      </c>
      <c r="I95" t="s">
        <v>673</v>
      </c>
    </row>
    <row r="96" spans="1:9" ht="12.75" customHeight="1" x14ac:dyDescent="0.2">
      <c r="C96" s="62" t="s">
        <v>320</v>
      </c>
      <c r="I96" t="s">
        <v>674</v>
      </c>
    </row>
    <row r="97" spans="3:9" ht="12.75" customHeight="1" x14ac:dyDescent="0.2">
      <c r="C97" s="62" t="s">
        <v>321</v>
      </c>
      <c r="I97" t="s">
        <v>675</v>
      </c>
    </row>
    <row r="98" spans="3:9" ht="12.75" customHeight="1" x14ac:dyDescent="0.2">
      <c r="C98" s="62" t="s">
        <v>322</v>
      </c>
      <c r="I98" t="s">
        <v>676</v>
      </c>
    </row>
    <row r="99" spans="3:9" ht="12.75" customHeight="1" x14ac:dyDescent="0.2">
      <c r="C99" s="62" t="s">
        <v>323</v>
      </c>
      <c r="I99" t="s">
        <v>677</v>
      </c>
    </row>
    <row r="100" spans="3:9" ht="12.75" customHeight="1" x14ac:dyDescent="0.2">
      <c r="C100" s="62" t="s">
        <v>324</v>
      </c>
      <c r="I100" t="s">
        <v>678</v>
      </c>
    </row>
    <row r="101" spans="3:9" ht="12.75" customHeight="1" x14ac:dyDescent="0.2">
      <c r="C101" s="62" t="s">
        <v>325</v>
      </c>
      <c r="I101" t="s">
        <v>679</v>
      </c>
    </row>
    <row r="102" spans="3:9" ht="12.75" customHeight="1" x14ac:dyDescent="0.2">
      <c r="C102" s="62" t="s">
        <v>337</v>
      </c>
      <c r="I102" t="s">
        <v>680</v>
      </c>
    </row>
    <row r="103" spans="3:9" ht="12.75" customHeight="1" x14ac:dyDescent="0.2">
      <c r="C103" s="62" t="s">
        <v>330</v>
      </c>
      <c r="I103" t="s">
        <v>681</v>
      </c>
    </row>
    <row r="104" spans="3:9" ht="12.75" customHeight="1" x14ac:dyDescent="0.2">
      <c r="C104" s="62" t="s">
        <v>331</v>
      </c>
      <c r="I104" t="s">
        <v>682</v>
      </c>
    </row>
    <row r="105" spans="3:9" ht="12.75" customHeight="1" x14ac:dyDescent="0.2">
      <c r="C105" s="62" t="s">
        <v>332</v>
      </c>
      <c r="I105" t="s">
        <v>683</v>
      </c>
    </row>
    <row r="106" spans="3:9" ht="12.75" customHeight="1" x14ac:dyDescent="0.2">
      <c r="C106" s="62" t="s">
        <v>333</v>
      </c>
      <c r="I106" t="s">
        <v>684</v>
      </c>
    </row>
    <row r="107" spans="3:9" ht="12.75" customHeight="1" x14ac:dyDescent="0.2">
      <c r="C107" s="62" t="s">
        <v>334</v>
      </c>
      <c r="I107" t="s">
        <v>685</v>
      </c>
    </row>
    <row r="108" spans="3:9" ht="12.75" customHeight="1" x14ac:dyDescent="0.2">
      <c r="C108" s="62" t="s">
        <v>327</v>
      </c>
      <c r="I108" t="s">
        <v>686</v>
      </c>
    </row>
    <row r="109" spans="3:9" ht="12.75" customHeight="1" x14ac:dyDescent="0.2">
      <c r="C109" s="62" t="s">
        <v>328</v>
      </c>
      <c r="I109" t="s">
        <v>687</v>
      </c>
    </row>
    <row r="110" spans="3:9" ht="12.75" customHeight="1" x14ac:dyDescent="0.2">
      <c r="C110" s="62" t="s">
        <v>329</v>
      </c>
      <c r="I110" t="s">
        <v>688</v>
      </c>
    </row>
    <row r="111" spans="3:9" ht="12.75" customHeight="1" x14ac:dyDescent="0.2">
      <c r="C111" s="62" t="s">
        <v>335</v>
      </c>
      <c r="I111" t="s">
        <v>689</v>
      </c>
    </row>
    <row r="112" spans="3:9" ht="12.75" customHeight="1" x14ac:dyDescent="0.2">
      <c r="C112" s="62" t="s">
        <v>326</v>
      </c>
      <c r="I112" t="s">
        <v>690</v>
      </c>
    </row>
    <row r="113" spans="3:9" ht="12.75" customHeight="1" x14ac:dyDescent="0.2">
      <c r="C113" s="62" t="s">
        <v>336</v>
      </c>
      <c r="I113" t="s">
        <v>691</v>
      </c>
    </row>
    <row r="114" spans="3:9" ht="12.75" customHeight="1" x14ac:dyDescent="0.2">
      <c r="C114" s="62" t="s">
        <v>338</v>
      </c>
      <c r="I114" t="s">
        <v>692</v>
      </c>
    </row>
    <row r="115" spans="3:9" ht="12.75" customHeight="1" x14ac:dyDescent="0.2">
      <c r="C115" s="62" t="s">
        <v>339</v>
      </c>
      <c r="I115" t="s">
        <v>693</v>
      </c>
    </row>
    <row r="116" spans="3:9" ht="12.75" customHeight="1" x14ac:dyDescent="0.2">
      <c r="C116" s="62" t="s">
        <v>340</v>
      </c>
      <c r="I116" t="s">
        <v>694</v>
      </c>
    </row>
    <row r="117" spans="3:9" ht="12.75" customHeight="1" x14ac:dyDescent="0.2">
      <c r="C117" s="62" t="s">
        <v>341</v>
      </c>
      <c r="I117" t="s">
        <v>695</v>
      </c>
    </row>
    <row r="118" spans="3:9" ht="12.75" customHeight="1" x14ac:dyDescent="0.2">
      <c r="C118" s="62" t="s">
        <v>342</v>
      </c>
      <c r="I118" t="s">
        <v>696</v>
      </c>
    </row>
    <row r="119" spans="3:9" ht="12.75" customHeight="1" x14ac:dyDescent="0.2">
      <c r="C119" s="62" t="s">
        <v>343</v>
      </c>
      <c r="I119" t="s">
        <v>697</v>
      </c>
    </row>
    <row r="120" spans="3:9" ht="12.75" customHeight="1" x14ac:dyDescent="0.2">
      <c r="C120" s="62" t="s">
        <v>345</v>
      </c>
      <c r="I120" t="s">
        <v>698</v>
      </c>
    </row>
    <row r="121" spans="3:9" ht="12.75" customHeight="1" x14ac:dyDescent="0.2">
      <c r="C121" s="62" t="s">
        <v>346</v>
      </c>
      <c r="I121" t="s">
        <v>699</v>
      </c>
    </row>
    <row r="122" spans="3:9" ht="12.75" customHeight="1" x14ac:dyDescent="0.2">
      <c r="C122" s="62" t="s">
        <v>347</v>
      </c>
    </row>
    <row r="123" spans="3:9" ht="12.75" customHeight="1" x14ac:dyDescent="0.2">
      <c r="C123" s="62" t="s">
        <v>348</v>
      </c>
    </row>
    <row r="124" spans="3:9" ht="12.75" customHeight="1" x14ac:dyDescent="0.2">
      <c r="C124" s="62" t="s">
        <v>349</v>
      </c>
    </row>
    <row r="125" spans="3:9" ht="12.75" customHeight="1" x14ac:dyDescent="0.2">
      <c r="C125" s="62" t="s">
        <v>355</v>
      </c>
    </row>
    <row r="126" spans="3:9" ht="12.75" customHeight="1" x14ac:dyDescent="0.2">
      <c r="C126" s="62" t="s">
        <v>357</v>
      </c>
    </row>
    <row r="127" spans="3:9" ht="12.75" customHeight="1" x14ac:dyDescent="0.2">
      <c r="C127" s="62" t="s">
        <v>358</v>
      </c>
    </row>
    <row r="128" spans="3:9" ht="12.75" customHeight="1" x14ac:dyDescent="0.2">
      <c r="C128" s="62" t="s">
        <v>359</v>
      </c>
    </row>
    <row r="129" spans="3:3" ht="12.75" customHeight="1" x14ac:dyDescent="0.2">
      <c r="C129" s="62" t="s">
        <v>360</v>
      </c>
    </row>
    <row r="130" spans="3:3" ht="12.75" customHeight="1" x14ac:dyDescent="0.2">
      <c r="C130" s="62" t="s">
        <v>361</v>
      </c>
    </row>
    <row r="131" spans="3:3" ht="12.75" customHeight="1" x14ac:dyDescent="0.2">
      <c r="C131" s="62" t="s">
        <v>362</v>
      </c>
    </row>
    <row r="132" spans="3:3" ht="12.75" customHeight="1" x14ac:dyDescent="0.2">
      <c r="C132" s="62" t="s">
        <v>344</v>
      </c>
    </row>
    <row r="133" spans="3:3" ht="12.75" customHeight="1" x14ac:dyDescent="0.2">
      <c r="C133" s="62" t="s">
        <v>350</v>
      </c>
    </row>
    <row r="134" spans="3:3" ht="12.75" customHeight="1" x14ac:dyDescent="0.2">
      <c r="C134" s="62" t="s">
        <v>351</v>
      </c>
    </row>
    <row r="135" spans="3:3" ht="12.75" customHeight="1" x14ac:dyDescent="0.2">
      <c r="C135" s="62" t="s">
        <v>352</v>
      </c>
    </row>
    <row r="136" spans="3:3" ht="12.75" customHeight="1" x14ac:dyDescent="0.2">
      <c r="C136" s="62" t="s">
        <v>353</v>
      </c>
    </row>
    <row r="137" spans="3:3" ht="12.75" customHeight="1" x14ac:dyDescent="0.2">
      <c r="C137" s="62" t="s">
        <v>356</v>
      </c>
    </row>
    <row r="138" spans="3:3" ht="12.75" customHeight="1" x14ac:dyDescent="0.2">
      <c r="C138" s="62" t="s">
        <v>354</v>
      </c>
    </row>
    <row r="139" spans="3:3" ht="12.75" customHeight="1" x14ac:dyDescent="0.2">
      <c r="C139" s="62" t="s">
        <v>363</v>
      </c>
    </row>
    <row r="140" spans="3:3" ht="12.75" customHeight="1" x14ac:dyDescent="0.2">
      <c r="C140" s="62" t="s">
        <v>364</v>
      </c>
    </row>
    <row r="141" spans="3:3" ht="12.75" customHeight="1" x14ac:dyDescent="0.2">
      <c r="C141" s="62" t="s">
        <v>606</v>
      </c>
    </row>
    <row r="142" spans="3:3" ht="12.75" customHeight="1" x14ac:dyDescent="0.2">
      <c r="C142" s="62" t="s">
        <v>365</v>
      </c>
    </row>
    <row r="143" spans="3:3" ht="12.75" customHeight="1" x14ac:dyDescent="0.2">
      <c r="C143" s="62" t="s">
        <v>366</v>
      </c>
    </row>
    <row r="144" spans="3:3" ht="12.75" customHeight="1" x14ac:dyDescent="0.2">
      <c r="C144" s="62" t="s">
        <v>367</v>
      </c>
    </row>
    <row r="145" spans="3:3" ht="12.75" customHeight="1" x14ac:dyDescent="0.2">
      <c r="C145" s="62" t="s">
        <v>368</v>
      </c>
    </row>
    <row r="146" spans="3:3" ht="12.75" customHeight="1" x14ac:dyDescent="0.2">
      <c r="C146" s="62" t="s">
        <v>369</v>
      </c>
    </row>
    <row r="147" spans="3:3" ht="12.75" customHeight="1" x14ac:dyDescent="0.2">
      <c r="C147" s="62" t="s">
        <v>370</v>
      </c>
    </row>
    <row r="148" spans="3:3" ht="12.75" customHeight="1" x14ac:dyDescent="0.2">
      <c r="C148" s="62" t="s">
        <v>371</v>
      </c>
    </row>
    <row r="149" spans="3:3" ht="12.75" customHeight="1" x14ac:dyDescent="0.2">
      <c r="C149" s="62" t="s">
        <v>373</v>
      </c>
    </row>
    <row r="150" spans="3:3" ht="12.75" customHeight="1" x14ac:dyDescent="0.2">
      <c r="C150" s="62" t="s">
        <v>374</v>
      </c>
    </row>
    <row r="151" spans="3:3" ht="12.75" customHeight="1" x14ac:dyDescent="0.2">
      <c r="C151" s="62" t="s">
        <v>375</v>
      </c>
    </row>
    <row r="152" spans="3:3" ht="12.75" customHeight="1" x14ac:dyDescent="0.2">
      <c r="C152" s="62" t="s">
        <v>376</v>
      </c>
    </row>
    <row r="153" spans="3:3" ht="12.75" customHeight="1" x14ac:dyDescent="0.2">
      <c r="C153" s="62" t="s">
        <v>377</v>
      </c>
    </row>
    <row r="154" spans="3:3" ht="12.75" customHeight="1" x14ac:dyDescent="0.2">
      <c r="C154" s="62" t="s">
        <v>378</v>
      </c>
    </row>
    <row r="155" spans="3:3" ht="12.75" customHeight="1" x14ac:dyDescent="0.2">
      <c r="C155" s="62" t="s">
        <v>379</v>
      </c>
    </row>
    <row r="156" spans="3:3" ht="12.75" customHeight="1" x14ac:dyDescent="0.2">
      <c r="C156" s="62" t="s">
        <v>380</v>
      </c>
    </row>
    <row r="157" spans="3:3" ht="12.75" customHeight="1" x14ac:dyDescent="0.2">
      <c r="C157" s="62" t="s">
        <v>381</v>
      </c>
    </row>
    <row r="158" spans="3:3" ht="12.75" customHeight="1" x14ac:dyDescent="0.2">
      <c r="C158" s="62" t="s">
        <v>383</v>
      </c>
    </row>
    <row r="159" spans="3:3" ht="12.75" customHeight="1" x14ac:dyDescent="0.2">
      <c r="C159" s="62" t="s">
        <v>387</v>
      </c>
    </row>
    <row r="160" spans="3:3" ht="12.75" customHeight="1" x14ac:dyDescent="0.2">
      <c r="C160" s="62" t="s">
        <v>382</v>
      </c>
    </row>
    <row r="161" spans="3:3" ht="12.75" customHeight="1" x14ac:dyDescent="0.2">
      <c r="C161" s="62" t="s">
        <v>384</v>
      </c>
    </row>
    <row r="162" spans="3:3" ht="12.75" customHeight="1" x14ac:dyDescent="0.2">
      <c r="C162" s="62" t="s">
        <v>388</v>
      </c>
    </row>
    <row r="163" spans="3:3" ht="12.75" customHeight="1" x14ac:dyDescent="0.2">
      <c r="C163" s="62" t="s">
        <v>372</v>
      </c>
    </row>
    <row r="164" spans="3:3" ht="12.75" customHeight="1" x14ac:dyDescent="0.2">
      <c r="C164" s="62" t="s">
        <v>385</v>
      </c>
    </row>
    <row r="165" spans="3:3" ht="12.75" customHeight="1" x14ac:dyDescent="0.2">
      <c r="C165" s="62" t="s">
        <v>386</v>
      </c>
    </row>
    <row r="166" spans="3:3" ht="12.75" customHeight="1" x14ac:dyDescent="0.2">
      <c r="C166" s="62" t="s">
        <v>389</v>
      </c>
    </row>
    <row r="167" spans="3:3" ht="12.75" customHeight="1" x14ac:dyDescent="0.2">
      <c r="C167" s="62" t="s">
        <v>390</v>
      </c>
    </row>
    <row r="168" spans="3:3" ht="12.75" customHeight="1" x14ac:dyDescent="0.2">
      <c r="C168" s="62" t="s">
        <v>607</v>
      </c>
    </row>
    <row r="169" spans="3:3" ht="12.75" customHeight="1" x14ac:dyDescent="0.2">
      <c r="C169" s="62" t="s">
        <v>391</v>
      </c>
    </row>
    <row r="170" spans="3:3" ht="12.75" customHeight="1" x14ac:dyDescent="0.2">
      <c r="C170" s="62" t="s">
        <v>392</v>
      </c>
    </row>
    <row r="171" spans="3:3" ht="12.75" customHeight="1" x14ac:dyDescent="0.2">
      <c r="C171" s="62" t="s">
        <v>393</v>
      </c>
    </row>
    <row r="172" spans="3:3" ht="12.75" customHeight="1" x14ac:dyDescent="0.2">
      <c r="C172" s="62" t="s">
        <v>395</v>
      </c>
    </row>
    <row r="173" spans="3:3" ht="12.75" customHeight="1" x14ac:dyDescent="0.2">
      <c r="C173" s="62" t="s">
        <v>399</v>
      </c>
    </row>
    <row r="174" spans="3:3" ht="12.75" customHeight="1" x14ac:dyDescent="0.2">
      <c r="C174" s="62" t="s">
        <v>394</v>
      </c>
    </row>
    <row r="175" spans="3:3" ht="12.75" customHeight="1" x14ac:dyDescent="0.2">
      <c r="C175" s="62" t="s">
        <v>396</v>
      </c>
    </row>
    <row r="176" spans="3:3" ht="12.75" customHeight="1" x14ac:dyDescent="0.2">
      <c r="C176" s="62" t="s">
        <v>603</v>
      </c>
    </row>
    <row r="177" spans="3:3" ht="12.75" customHeight="1" x14ac:dyDescent="0.2">
      <c r="C177" s="62" t="s">
        <v>397</v>
      </c>
    </row>
    <row r="178" spans="3:3" ht="12.75" customHeight="1" x14ac:dyDescent="0.2">
      <c r="C178" s="62" t="s">
        <v>398</v>
      </c>
    </row>
    <row r="179" spans="3:3" ht="12.75" customHeight="1" x14ac:dyDescent="0.2">
      <c r="C179" s="62" t="s">
        <v>400</v>
      </c>
    </row>
    <row r="180" spans="3:3" ht="12.75" customHeight="1" x14ac:dyDescent="0.2">
      <c r="C180" s="62" t="s">
        <v>401</v>
      </c>
    </row>
    <row r="181" spans="3:3" ht="12.75" customHeight="1" x14ac:dyDescent="0.2">
      <c r="C181" s="62" t="s">
        <v>402</v>
      </c>
    </row>
    <row r="182" spans="3:3" ht="12.75" customHeight="1" x14ac:dyDescent="0.2">
      <c r="C182" s="62" t="s">
        <v>403</v>
      </c>
    </row>
    <row r="183" spans="3:3" ht="12.75" customHeight="1" x14ac:dyDescent="0.2">
      <c r="C183" s="62" t="s">
        <v>404</v>
      </c>
    </row>
    <row r="184" spans="3:3" ht="12.75" customHeight="1" x14ac:dyDescent="0.2">
      <c r="C184" s="62" t="s">
        <v>405</v>
      </c>
    </row>
    <row r="185" spans="3:3" ht="12.75" customHeight="1" x14ac:dyDescent="0.2">
      <c r="C185" s="62" t="s">
        <v>406</v>
      </c>
    </row>
    <row r="186" spans="3:3" ht="12.75" customHeight="1" x14ac:dyDescent="0.2">
      <c r="C186" s="62" t="s">
        <v>407</v>
      </c>
    </row>
    <row r="187" spans="3:3" ht="12.75" customHeight="1" x14ac:dyDescent="0.2">
      <c r="C187" s="62" t="s">
        <v>409</v>
      </c>
    </row>
    <row r="188" spans="3:3" ht="12.75" customHeight="1" x14ac:dyDescent="0.2">
      <c r="C188" s="62" t="s">
        <v>410</v>
      </c>
    </row>
    <row r="189" spans="3:3" ht="12.75" customHeight="1" x14ac:dyDescent="0.2">
      <c r="C189" s="62" t="s">
        <v>411</v>
      </c>
    </row>
    <row r="190" spans="3:3" ht="12.75" customHeight="1" x14ac:dyDescent="0.2">
      <c r="C190" s="62" t="s">
        <v>408</v>
      </c>
    </row>
    <row r="191" spans="3:3" ht="12.75" customHeight="1" x14ac:dyDescent="0.2">
      <c r="C191" s="62" t="s">
        <v>412</v>
      </c>
    </row>
    <row r="192" spans="3:3" ht="12.75" customHeight="1" x14ac:dyDescent="0.2">
      <c r="C192" s="62" t="s">
        <v>413</v>
      </c>
    </row>
    <row r="193" spans="3:3" ht="12.75" customHeight="1" x14ac:dyDescent="0.2">
      <c r="C193" s="62" t="s">
        <v>414</v>
      </c>
    </row>
    <row r="194" spans="3:3" ht="12.75" customHeight="1" x14ac:dyDescent="0.2">
      <c r="C194" s="62" t="s">
        <v>415</v>
      </c>
    </row>
    <row r="195" spans="3:3" ht="12.75" customHeight="1" x14ac:dyDescent="0.2">
      <c r="C195" s="62" t="s">
        <v>416</v>
      </c>
    </row>
    <row r="196" spans="3:3" ht="12.75" customHeight="1" x14ac:dyDescent="0.2">
      <c r="C196" s="62" t="s">
        <v>417</v>
      </c>
    </row>
    <row r="197" spans="3:3" ht="12.75" customHeight="1" x14ac:dyDescent="0.2">
      <c r="C197" s="62" t="s">
        <v>418</v>
      </c>
    </row>
    <row r="198" spans="3:3" ht="12.75" customHeight="1" x14ac:dyDescent="0.2">
      <c r="C198" s="62" t="s">
        <v>419</v>
      </c>
    </row>
    <row r="199" spans="3:3" ht="12.75" customHeight="1" x14ac:dyDescent="0.2">
      <c r="C199" s="62" t="s">
        <v>420</v>
      </c>
    </row>
    <row r="200" spans="3:3" ht="12.75" customHeight="1" x14ac:dyDescent="0.2">
      <c r="C200" s="62" t="s">
        <v>421</v>
      </c>
    </row>
    <row r="201" spans="3:3" ht="12.75" customHeight="1" x14ac:dyDescent="0.2">
      <c r="C201" s="62" t="s">
        <v>422</v>
      </c>
    </row>
    <row r="202" spans="3:3" ht="12.75" customHeight="1" x14ac:dyDescent="0.2">
      <c r="C202" s="62" t="s">
        <v>423</v>
      </c>
    </row>
    <row r="203" spans="3:3" ht="12.75" customHeight="1" x14ac:dyDescent="0.2">
      <c r="C203" s="62" t="s">
        <v>424</v>
      </c>
    </row>
    <row r="204" spans="3:3" ht="12.75" customHeight="1" x14ac:dyDescent="0.2">
      <c r="C204" s="62" t="s">
        <v>425</v>
      </c>
    </row>
    <row r="205" spans="3:3" ht="12.75" customHeight="1" x14ac:dyDescent="0.2">
      <c r="C205" s="62" t="s">
        <v>426</v>
      </c>
    </row>
    <row r="206" spans="3:3" ht="12.75" customHeight="1" x14ac:dyDescent="0.2">
      <c r="C206" s="62" t="s">
        <v>427</v>
      </c>
    </row>
    <row r="207" spans="3:3" ht="12.75" customHeight="1" x14ac:dyDescent="0.2">
      <c r="C207" s="62" t="s">
        <v>428</v>
      </c>
    </row>
    <row r="208" spans="3:3" ht="12.75" customHeight="1" x14ac:dyDescent="0.2">
      <c r="C208" s="62" t="s">
        <v>429</v>
      </c>
    </row>
    <row r="209" spans="3:3" ht="12.75" customHeight="1" x14ac:dyDescent="0.2">
      <c r="C209" s="62" t="s">
        <v>430</v>
      </c>
    </row>
    <row r="210" spans="3:3" ht="12.75" customHeight="1" x14ac:dyDescent="0.2">
      <c r="C210" s="62" t="s">
        <v>431</v>
      </c>
    </row>
    <row r="211" spans="3:3" ht="12.75" customHeight="1" x14ac:dyDescent="0.2">
      <c r="C211" s="62" t="s">
        <v>432</v>
      </c>
    </row>
    <row r="212" spans="3:3" ht="12.75" customHeight="1" x14ac:dyDescent="0.2">
      <c r="C212" s="62" t="s">
        <v>433</v>
      </c>
    </row>
    <row r="213" spans="3:3" ht="12.75" customHeight="1" x14ac:dyDescent="0.2">
      <c r="C213" s="62" t="s">
        <v>434</v>
      </c>
    </row>
    <row r="214" spans="3:3" ht="12.75" customHeight="1" x14ac:dyDescent="0.2">
      <c r="C214" s="62" t="s">
        <v>435</v>
      </c>
    </row>
    <row r="215" spans="3:3" ht="12.75" customHeight="1" x14ac:dyDescent="0.2">
      <c r="C215" s="62" t="s">
        <v>436</v>
      </c>
    </row>
    <row r="216" spans="3:3" ht="12.75" customHeight="1" x14ac:dyDescent="0.2">
      <c r="C216" s="62" t="s">
        <v>439</v>
      </c>
    </row>
    <row r="217" spans="3:3" ht="12.75" customHeight="1" x14ac:dyDescent="0.2">
      <c r="C217" s="62" t="s">
        <v>445</v>
      </c>
    </row>
    <row r="218" spans="3:3" ht="12.75" customHeight="1" x14ac:dyDescent="0.2">
      <c r="C218" s="62" t="s">
        <v>446</v>
      </c>
    </row>
    <row r="219" spans="3:3" ht="12.75" customHeight="1" x14ac:dyDescent="0.2">
      <c r="C219" s="62" t="s">
        <v>447</v>
      </c>
    </row>
    <row r="220" spans="3:3" ht="12.75" customHeight="1" x14ac:dyDescent="0.2">
      <c r="C220" s="62" t="s">
        <v>437</v>
      </c>
    </row>
    <row r="221" spans="3:3" ht="12.75" customHeight="1" x14ac:dyDescent="0.2">
      <c r="C221" s="62" t="s">
        <v>440</v>
      </c>
    </row>
    <row r="222" spans="3:3" ht="12.75" customHeight="1" x14ac:dyDescent="0.2">
      <c r="C222" s="62" t="s">
        <v>444</v>
      </c>
    </row>
    <row r="223" spans="3:3" ht="12.75" customHeight="1" x14ac:dyDescent="0.2">
      <c r="C223" s="62" t="s">
        <v>441</v>
      </c>
    </row>
    <row r="224" spans="3:3" ht="12.75" customHeight="1" x14ac:dyDescent="0.2">
      <c r="C224" s="62" t="s">
        <v>448</v>
      </c>
    </row>
    <row r="225" spans="3:3" ht="12.75" customHeight="1" x14ac:dyDescent="0.2">
      <c r="C225" s="62" t="s">
        <v>442</v>
      </c>
    </row>
    <row r="226" spans="3:3" ht="12.75" customHeight="1" x14ac:dyDescent="0.2">
      <c r="C226" s="62" t="s">
        <v>443</v>
      </c>
    </row>
    <row r="227" spans="3:3" ht="12.75" customHeight="1" x14ac:dyDescent="0.2">
      <c r="C227" s="62" t="s">
        <v>438</v>
      </c>
    </row>
    <row r="228" spans="3:3" ht="12.75" customHeight="1" x14ac:dyDescent="0.2">
      <c r="C228" s="62" t="s">
        <v>450</v>
      </c>
    </row>
    <row r="229" spans="3:3" ht="12.75" customHeight="1" x14ac:dyDescent="0.2">
      <c r="C229" s="62" t="s">
        <v>449</v>
      </c>
    </row>
    <row r="230" spans="3:3" ht="12.75" customHeight="1" x14ac:dyDescent="0.2">
      <c r="C230" s="62" t="s">
        <v>451</v>
      </c>
    </row>
    <row r="231" spans="3:3" ht="12.75" customHeight="1" x14ac:dyDescent="0.2">
      <c r="C231" s="62" t="s">
        <v>452</v>
      </c>
    </row>
    <row r="232" spans="3:3" ht="12.75" customHeight="1" x14ac:dyDescent="0.2">
      <c r="C232" s="62" t="s">
        <v>453</v>
      </c>
    </row>
    <row r="233" spans="3:3" ht="12.75" customHeight="1" x14ac:dyDescent="0.2">
      <c r="C233" s="62" t="s">
        <v>454</v>
      </c>
    </row>
    <row r="234" spans="3:3" ht="12.75" customHeight="1" x14ac:dyDescent="0.2">
      <c r="C234" s="62" t="s">
        <v>455</v>
      </c>
    </row>
    <row r="235" spans="3:3" ht="12.75" customHeight="1" x14ac:dyDescent="0.2">
      <c r="C235" s="62" t="s">
        <v>456</v>
      </c>
    </row>
    <row r="236" spans="3:3" ht="12.75" customHeight="1" x14ac:dyDescent="0.2">
      <c r="C236" s="62" t="s">
        <v>457</v>
      </c>
    </row>
    <row r="237" spans="3:3" ht="12.75" customHeight="1" x14ac:dyDescent="0.2">
      <c r="C237" s="62" t="s">
        <v>458</v>
      </c>
    </row>
    <row r="238" spans="3:3" ht="12.75" customHeight="1" x14ac:dyDescent="0.2">
      <c r="C238" s="62" t="s">
        <v>459</v>
      </c>
    </row>
    <row r="239" spans="3:3" ht="12.75" customHeight="1" x14ac:dyDescent="0.2">
      <c r="C239" s="62" t="s">
        <v>460</v>
      </c>
    </row>
    <row r="240" spans="3:3" ht="12.75" customHeight="1" x14ac:dyDescent="0.2">
      <c r="C240" s="62" t="s">
        <v>461</v>
      </c>
    </row>
    <row r="241" spans="3:3" ht="12.75" customHeight="1" x14ac:dyDescent="0.2">
      <c r="C241" s="62" t="s">
        <v>463</v>
      </c>
    </row>
    <row r="242" spans="3:3" ht="12.75" customHeight="1" x14ac:dyDescent="0.2">
      <c r="C242" s="62" t="s">
        <v>464</v>
      </c>
    </row>
    <row r="243" spans="3:3" ht="12.75" customHeight="1" x14ac:dyDescent="0.2">
      <c r="C243" s="62" t="s">
        <v>465</v>
      </c>
    </row>
    <row r="244" spans="3:3" ht="12.75" customHeight="1" x14ac:dyDescent="0.2">
      <c r="C244" s="62" t="s">
        <v>466</v>
      </c>
    </row>
    <row r="245" spans="3:3" ht="12.75" customHeight="1" x14ac:dyDescent="0.2">
      <c r="C245" s="62" t="s">
        <v>611</v>
      </c>
    </row>
    <row r="246" spans="3:3" ht="12.75" customHeight="1" x14ac:dyDescent="0.2">
      <c r="C246" s="62" t="s">
        <v>462</v>
      </c>
    </row>
    <row r="247" spans="3:3" ht="12.75" customHeight="1" x14ac:dyDescent="0.2">
      <c r="C247" s="62" t="s">
        <v>467</v>
      </c>
    </row>
    <row r="248" spans="3:3" ht="12.75" customHeight="1" x14ac:dyDescent="0.2">
      <c r="C248" s="62" t="s">
        <v>468</v>
      </c>
    </row>
    <row r="249" spans="3:3" ht="12.75" customHeight="1" x14ac:dyDescent="0.2">
      <c r="C249" s="62" t="s">
        <v>470</v>
      </c>
    </row>
    <row r="250" spans="3:3" ht="12.75" customHeight="1" x14ac:dyDescent="0.2">
      <c r="C250" s="62" t="s">
        <v>469</v>
      </c>
    </row>
    <row r="251" spans="3:3" ht="12.75" customHeight="1" x14ac:dyDescent="0.2">
      <c r="C251" s="62" t="s">
        <v>471</v>
      </c>
    </row>
    <row r="252" spans="3:3" ht="12.75" customHeight="1" x14ac:dyDescent="0.2">
      <c r="C252" s="62" t="s">
        <v>472</v>
      </c>
    </row>
    <row r="253" spans="3:3" ht="12.75" customHeight="1" x14ac:dyDescent="0.2">
      <c r="C253" s="62" t="s">
        <v>473</v>
      </c>
    </row>
    <row r="254" spans="3:3" ht="12.75" customHeight="1" x14ac:dyDescent="0.2">
      <c r="C254" s="62" t="s">
        <v>474</v>
      </c>
    </row>
    <row r="255" spans="3:3" ht="12.75" customHeight="1" x14ac:dyDescent="0.2">
      <c r="C255" s="62" t="s">
        <v>475</v>
      </c>
    </row>
    <row r="256" spans="3:3" ht="12.75" customHeight="1" x14ac:dyDescent="0.2">
      <c r="C256" s="62" t="s">
        <v>476</v>
      </c>
    </row>
    <row r="257" spans="3:3" ht="12.75" customHeight="1" x14ac:dyDescent="0.2">
      <c r="C257" s="62" t="s">
        <v>477</v>
      </c>
    </row>
    <row r="258" spans="3:3" ht="12.75" customHeight="1" x14ac:dyDescent="0.2">
      <c r="C258" s="62" t="s">
        <v>478</v>
      </c>
    </row>
    <row r="259" spans="3:3" ht="12.75" customHeight="1" x14ac:dyDescent="0.2">
      <c r="C259" s="62" t="s">
        <v>479</v>
      </c>
    </row>
    <row r="260" spans="3:3" ht="12.75" customHeight="1" x14ac:dyDescent="0.2">
      <c r="C260" s="62" t="s">
        <v>480</v>
      </c>
    </row>
    <row r="261" spans="3:3" ht="12.75" customHeight="1" x14ac:dyDescent="0.2">
      <c r="C261" s="62" t="s">
        <v>481</v>
      </c>
    </row>
    <row r="262" spans="3:3" ht="12.75" customHeight="1" x14ac:dyDescent="0.2">
      <c r="C262" s="62" t="s">
        <v>482</v>
      </c>
    </row>
    <row r="263" spans="3:3" ht="12.75" customHeight="1" x14ac:dyDescent="0.2">
      <c r="C263" s="62" t="s">
        <v>483</v>
      </c>
    </row>
    <row r="264" spans="3:3" ht="12.75" customHeight="1" x14ac:dyDescent="0.2">
      <c r="C264" s="62" t="s">
        <v>484</v>
      </c>
    </row>
    <row r="265" spans="3:3" ht="12.75" customHeight="1" x14ac:dyDescent="0.2">
      <c r="C265" s="62" t="s">
        <v>485</v>
      </c>
    </row>
    <row r="266" spans="3:3" ht="12.75" customHeight="1" x14ac:dyDescent="0.2">
      <c r="C266" s="62" t="s">
        <v>486</v>
      </c>
    </row>
    <row r="267" spans="3:3" ht="12.75" customHeight="1" x14ac:dyDescent="0.2">
      <c r="C267" s="62" t="s">
        <v>487</v>
      </c>
    </row>
    <row r="268" spans="3:3" ht="12.75" customHeight="1" x14ac:dyDescent="0.2">
      <c r="C268" s="62" t="s">
        <v>488</v>
      </c>
    </row>
    <row r="269" spans="3:3" ht="12.75" customHeight="1" x14ac:dyDescent="0.2">
      <c r="C269" s="62" t="s">
        <v>489</v>
      </c>
    </row>
    <row r="270" spans="3:3" ht="12.75" customHeight="1" x14ac:dyDescent="0.2">
      <c r="C270" s="62" t="s">
        <v>490</v>
      </c>
    </row>
    <row r="271" spans="3:3" ht="12.75" customHeight="1" x14ac:dyDescent="0.2">
      <c r="C271" s="62" t="s">
        <v>491</v>
      </c>
    </row>
    <row r="272" spans="3:3" ht="12.75" customHeight="1" x14ac:dyDescent="0.2">
      <c r="C272" s="62" t="s">
        <v>492</v>
      </c>
    </row>
    <row r="273" spans="3:3" ht="12.75" customHeight="1" x14ac:dyDescent="0.2">
      <c r="C273" s="62" t="s">
        <v>493</v>
      </c>
    </row>
    <row r="274" spans="3:3" ht="12.75" customHeight="1" x14ac:dyDescent="0.2">
      <c r="C274" s="62" t="s">
        <v>494</v>
      </c>
    </row>
    <row r="275" spans="3:3" ht="12.75" customHeight="1" x14ac:dyDescent="0.2">
      <c r="C275" s="62" t="s">
        <v>622</v>
      </c>
    </row>
    <row r="276" spans="3:3" ht="12.75" customHeight="1" x14ac:dyDescent="0.2">
      <c r="C276" s="62" t="s">
        <v>495</v>
      </c>
    </row>
    <row r="277" spans="3:3" ht="12.75" customHeight="1" x14ac:dyDescent="0.2">
      <c r="C277" s="62" t="s">
        <v>496</v>
      </c>
    </row>
    <row r="278" spans="3:3" ht="12.75" customHeight="1" x14ac:dyDescent="0.2">
      <c r="C278" s="62" t="s">
        <v>497</v>
      </c>
    </row>
    <row r="279" spans="3:3" ht="12.75" customHeight="1" x14ac:dyDescent="0.2">
      <c r="C279" s="62" t="s">
        <v>498</v>
      </c>
    </row>
    <row r="280" spans="3:3" ht="12.75" customHeight="1" x14ac:dyDescent="0.2">
      <c r="C280" s="62" t="s">
        <v>499</v>
      </c>
    </row>
    <row r="281" spans="3:3" ht="12.75" customHeight="1" x14ac:dyDescent="0.2">
      <c r="C281" s="62" t="s">
        <v>500</v>
      </c>
    </row>
    <row r="282" spans="3:3" ht="12.75" customHeight="1" x14ac:dyDescent="0.2">
      <c r="C282" s="62" t="s">
        <v>502</v>
      </c>
    </row>
    <row r="283" spans="3:3" ht="12.75" customHeight="1" x14ac:dyDescent="0.2">
      <c r="C283" s="62" t="s">
        <v>503</v>
      </c>
    </row>
    <row r="284" spans="3:3" ht="12.75" customHeight="1" x14ac:dyDescent="0.2">
      <c r="C284" s="62" t="s">
        <v>504</v>
      </c>
    </row>
    <row r="285" spans="3:3" ht="12.75" customHeight="1" x14ac:dyDescent="0.2">
      <c r="C285" s="62" t="s">
        <v>505</v>
      </c>
    </row>
    <row r="286" spans="3:3" ht="12.75" customHeight="1" x14ac:dyDescent="0.2">
      <c r="C286" s="62" t="s">
        <v>506</v>
      </c>
    </row>
    <row r="287" spans="3:3" ht="12.75" customHeight="1" x14ac:dyDescent="0.2">
      <c r="C287" s="62" t="s">
        <v>507</v>
      </c>
    </row>
    <row r="288" spans="3:3" ht="12.75" customHeight="1" x14ac:dyDescent="0.2">
      <c r="C288" s="62" t="s">
        <v>508</v>
      </c>
    </row>
    <row r="289" spans="3:3" ht="12.75" customHeight="1" x14ac:dyDescent="0.2">
      <c r="C289" s="62" t="s">
        <v>511</v>
      </c>
    </row>
    <row r="290" spans="3:3" ht="12.75" customHeight="1" x14ac:dyDescent="0.2">
      <c r="C290" s="62" t="s">
        <v>512</v>
      </c>
    </row>
    <row r="291" spans="3:3" ht="12.75" customHeight="1" x14ac:dyDescent="0.2">
      <c r="C291" s="62" t="s">
        <v>513</v>
      </c>
    </row>
    <row r="292" spans="3:3" ht="12.75" customHeight="1" x14ac:dyDescent="0.2">
      <c r="C292" s="62" t="s">
        <v>514</v>
      </c>
    </row>
    <row r="293" spans="3:3" ht="12.75" customHeight="1" x14ac:dyDescent="0.2">
      <c r="C293" s="62" t="s">
        <v>515</v>
      </c>
    </row>
    <row r="294" spans="3:3" ht="12.75" customHeight="1" x14ac:dyDescent="0.2">
      <c r="C294" s="62" t="s">
        <v>517</v>
      </c>
    </row>
    <row r="295" spans="3:3" ht="12.75" customHeight="1" x14ac:dyDescent="0.2">
      <c r="C295" s="62" t="s">
        <v>518</v>
      </c>
    </row>
    <row r="296" spans="3:3" ht="12.75" customHeight="1" x14ac:dyDescent="0.2">
      <c r="C296" s="62" t="s">
        <v>520</v>
      </c>
    </row>
    <row r="297" spans="3:3" ht="12.75" customHeight="1" x14ac:dyDescent="0.2">
      <c r="C297" s="62" t="s">
        <v>521</v>
      </c>
    </row>
    <row r="298" spans="3:3" ht="12.75" customHeight="1" x14ac:dyDescent="0.2">
      <c r="C298" s="62" t="s">
        <v>522</v>
      </c>
    </row>
    <row r="299" spans="3:3" ht="12.75" customHeight="1" x14ac:dyDescent="0.2">
      <c r="C299" s="62" t="s">
        <v>509</v>
      </c>
    </row>
    <row r="300" spans="3:3" ht="12.75" customHeight="1" x14ac:dyDescent="0.2">
      <c r="C300" s="62" t="s">
        <v>510</v>
      </c>
    </row>
    <row r="301" spans="3:3" ht="12.75" customHeight="1" x14ac:dyDescent="0.2">
      <c r="C301" s="62" t="s">
        <v>523</v>
      </c>
    </row>
    <row r="302" spans="3:3" ht="12.75" customHeight="1" x14ac:dyDescent="0.2">
      <c r="C302" s="62" t="s">
        <v>523</v>
      </c>
    </row>
    <row r="303" spans="3:3" ht="12.75" customHeight="1" x14ac:dyDescent="0.2">
      <c r="C303" s="62" t="s">
        <v>524</v>
      </c>
    </row>
    <row r="304" spans="3:3" ht="12.75" customHeight="1" x14ac:dyDescent="0.2">
      <c r="C304" s="62" t="s">
        <v>516</v>
      </c>
    </row>
    <row r="305" spans="3:3" ht="12.75" customHeight="1" x14ac:dyDescent="0.2">
      <c r="C305" s="62" t="s">
        <v>519</v>
      </c>
    </row>
    <row r="306" spans="3:3" ht="12.75" customHeight="1" x14ac:dyDescent="0.2">
      <c r="C306" s="62" t="s">
        <v>501</v>
      </c>
    </row>
    <row r="307" spans="3:3" ht="12.75" customHeight="1" x14ac:dyDescent="0.2">
      <c r="C307" s="62" t="s">
        <v>525</v>
      </c>
    </row>
    <row r="308" spans="3:3" ht="12.75" customHeight="1" x14ac:dyDescent="0.2">
      <c r="C308" s="62" t="s">
        <v>526</v>
      </c>
    </row>
    <row r="309" spans="3:3" ht="12.75" customHeight="1" x14ac:dyDescent="0.2">
      <c r="C309" s="62" t="s">
        <v>527</v>
      </c>
    </row>
    <row r="310" spans="3:3" ht="12.75" customHeight="1" x14ac:dyDescent="0.2">
      <c r="C310" s="62" t="s">
        <v>529</v>
      </c>
    </row>
    <row r="311" spans="3:3" ht="12.75" customHeight="1" x14ac:dyDescent="0.2">
      <c r="C311" s="62" t="s">
        <v>528</v>
      </c>
    </row>
    <row r="312" spans="3:3" ht="12.75" customHeight="1" x14ac:dyDescent="0.2">
      <c r="C312" s="62" t="s">
        <v>530</v>
      </c>
    </row>
    <row r="313" spans="3:3" ht="12.75" customHeight="1" x14ac:dyDescent="0.2">
      <c r="C313" s="62" t="s">
        <v>531</v>
      </c>
    </row>
    <row r="314" spans="3:3" ht="12.75" customHeight="1" x14ac:dyDescent="0.2">
      <c r="C314" s="62" t="s">
        <v>532</v>
      </c>
    </row>
    <row r="315" spans="3:3" ht="12.75" customHeight="1" x14ac:dyDescent="0.2">
      <c r="C315" s="62" t="s">
        <v>533</v>
      </c>
    </row>
    <row r="316" spans="3:3" ht="12.75" customHeight="1" x14ac:dyDescent="0.2">
      <c r="C316" s="62" t="s">
        <v>534</v>
      </c>
    </row>
    <row r="317" spans="3:3" ht="12.75" customHeight="1" x14ac:dyDescent="0.2">
      <c r="C317" s="62" t="s">
        <v>535</v>
      </c>
    </row>
    <row r="318" spans="3:3" ht="12.75" customHeight="1" x14ac:dyDescent="0.2">
      <c r="C318" s="62" t="s">
        <v>536</v>
      </c>
    </row>
    <row r="319" spans="3:3" ht="12.75" customHeight="1" x14ac:dyDescent="0.2">
      <c r="C319" s="62" t="s">
        <v>537</v>
      </c>
    </row>
    <row r="320" spans="3:3" ht="12.75" customHeight="1" x14ac:dyDescent="0.2">
      <c r="C320" s="62" t="s">
        <v>538</v>
      </c>
    </row>
    <row r="321" spans="3:3" ht="12.75" customHeight="1" x14ac:dyDescent="0.2">
      <c r="C321" s="62" t="s">
        <v>539</v>
      </c>
    </row>
    <row r="322" spans="3:3" ht="12.75" customHeight="1" x14ac:dyDescent="0.2">
      <c r="C322" s="62" t="s">
        <v>540</v>
      </c>
    </row>
    <row r="323" spans="3:3" ht="12.75" customHeight="1" x14ac:dyDescent="0.2">
      <c r="C323" s="62" t="s">
        <v>541</v>
      </c>
    </row>
    <row r="324" spans="3:3" ht="12.75" customHeight="1" x14ac:dyDescent="0.2">
      <c r="C324" s="62" t="s">
        <v>542</v>
      </c>
    </row>
    <row r="325" spans="3:3" ht="12.75" customHeight="1" x14ac:dyDescent="0.2">
      <c r="C325" s="62" t="s">
        <v>543</v>
      </c>
    </row>
    <row r="326" spans="3:3" ht="12.75" customHeight="1" x14ac:dyDescent="0.2">
      <c r="C326" s="62" t="s">
        <v>544</v>
      </c>
    </row>
    <row r="327" spans="3:3" ht="12.75" customHeight="1" x14ac:dyDescent="0.2">
      <c r="C327" s="62" t="s">
        <v>545</v>
      </c>
    </row>
    <row r="328" spans="3:3" ht="12.75" customHeight="1" x14ac:dyDescent="0.2">
      <c r="C328" s="62" t="s">
        <v>546</v>
      </c>
    </row>
    <row r="329" spans="3:3" ht="12.75" customHeight="1" x14ac:dyDescent="0.2">
      <c r="C329" s="62" t="s">
        <v>547</v>
      </c>
    </row>
    <row r="330" spans="3:3" ht="12.75" customHeight="1" x14ac:dyDescent="0.2">
      <c r="C330" s="62" t="s">
        <v>548</v>
      </c>
    </row>
    <row r="331" spans="3:3" ht="12.75" customHeight="1" x14ac:dyDescent="0.2">
      <c r="C331" s="62" t="s">
        <v>549</v>
      </c>
    </row>
    <row r="332" spans="3:3" ht="12.75" customHeight="1" x14ac:dyDescent="0.2">
      <c r="C332" s="62" t="s">
        <v>550</v>
      </c>
    </row>
    <row r="333" spans="3:3" ht="12.75" customHeight="1" x14ac:dyDescent="0.2">
      <c r="C333" s="62" t="s">
        <v>551</v>
      </c>
    </row>
    <row r="334" spans="3:3" ht="12.75" customHeight="1" x14ac:dyDescent="0.2">
      <c r="C334" s="62" t="s">
        <v>552</v>
      </c>
    </row>
    <row r="335" spans="3:3" ht="12.75" customHeight="1" x14ac:dyDescent="0.2">
      <c r="C335" s="62" t="s">
        <v>553</v>
      </c>
    </row>
    <row r="336" spans="3:3" ht="12.75" customHeight="1" x14ac:dyDescent="0.2">
      <c r="C336" s="62" t="s">
        <v>554</v>
      </c>
    </row>
    <row r="337" spans="3:3" ht="12.75" customHeight="1" x14ac:dyDescent="0.2">
      <c r="C337" s="62" t="s">
        <v>555</v>
      </c>
    </row>
    <row r="338" spans="3:3" ht="12.75" customHeight="1" x14ac:dyDescent="0.2">
      <c r="C338" s="62" t="s">
        <v>557</v>
      </c>
    </row>
    <row r="339" spans="3:3" ht="12.75" customHeight="1" x14ac:dyDescent="0.2">
      <c r="C339" s="62" t="s">
        <v>556</v>
      </c>
    </row>
    <row r="340" spans="3:3" ht="12.75" customHeight="1" x14ac:dyDescent="0.2">
      <c r="C340" s="62" t="s">
        <v>558</v>
      </c>
    </row>
    <row r="341" spans="3:3" ht="12.75" customHeight="1" x14ac:dyDescent="0.2">
      <c r="C341" s="62" t="s">
        <v>559</v>
      </c>
    </row>
    <row r="342" spans="3:3" ht="12.75" customHeight="1" x14ac:dyDescent="0.2">
      <c r="C342" s="62" t="s">
        <v>560</v>
      </c>
    </row>
    <row r="343" spans="3:3" ht="12.75" customHeight="1" x14ac:dyDescent="0.2">
      <c r="C343" s="62" t="s">
        <v>561</v>
      </c>
    </row>
    <row r="344" spans="3:3" ht="12.75" customHeight="1" x14ac:dyDescent="0.2">
      <c r="C344" s="62" t="s">
        <v>605</v>
      </c>
    </row>
    <row r="345" spans="3:3" ht="12.75" customHeight="1" x14ac:dyDescent="0.2">
      <c r="C345" s="62" t="s">
        <v>562</v>
      </c>
    </row>
    <row r="346" spans="3:3" ht="12.75" customHeight="1" x14ac:dyDescent="0.2">
      <c r="C346" s="62" t="s">
        <v>563</v>
      </c>
    </row>
    <row r="347" spans="3:3" ht="12.75" customHeight="1" x14ac:dyDescent="0.2">
      <c r="C347" s="62" t="s">
        <v>564</v>
      </c>
    </row>
    <row r="348" spans="3:3" ht="12.75" customHeight="1" x14ac:dyDescent="0.2">
      <c r="C348" s="62" t="s">
        <v>565</v>
      </c>
    </row>
    <row r="349" spans="3:3" ht="12.75" customHeight="1" x14ac:dyDescent="0.2">
      <c r="C349" s="62" t="s">
        <v>566</v>
      </c>
    </row>
    <row r="350" spans="3:3" ht="12.75" customHeight="1" x14ac:dyDescent="0.2">
      <c r="C350" s="62" t="s">
        <v>567</v>
      </c>
    </row>
    <row r="351" spans="3:3" ht="12.75" customHeight="1" x14ac:dyDescent="0.2">
      <c r="C351" s="62" t="s">
        <v>568</v>
      </c>
    </row>
    <row r="352" spans="3:3" ht="12.75" customHeight="1" x14ac:dyDescent="0.2">
      <c r="C352" s="62" t="s">
        <v>569</v>
      </c>
    </row>
    <row r="353" spans="3:3" ht="12.75" customHeight="1" x14ac:dyDescent="0.2">
      <c r="C353" s="62" t="s">
        <v>570</v>
      </c>
    </row>
    <row r="354" spans="3:3" ht="12.75" customHeight="1" x14ac:dyDescent="0.2">
      <c r="C354" s="62" t="s">
        <v>571</v>
      </c>
    </row>
    <row r="355" spans="3:3" ht="12.75" customHeight="1" x14ac:dyDescent="0.2">
      <c r="C355" s="62" t="s">
        <v>572</v>
      </c>
    </row>
    <row r="356" spans="3:3" ht="12.75" customHeight="1" x14ac:dyDescent="0.2">
      <c r="C356" s="62" t="s">
        <v>573</v>
      </c>
    </row>
    <row r="357" spans="3:3" ht="12.75" customHeight="1" x14ac:dyDescent="0.2">
      <c r="C357" s="62" t="s">
        <v>574</v>
      </c>
    </row>
    <row r="358" spans="3:3" ht="12.75" customHeight="1" x14ac:dyDescent="0.2">
      <c r="C358" s="62" t="s">
        <v>575</v>
      </c>
    </row>
    <row r="359" spans="3:3" ht="12.75" customHeight="1" x14ac:dyDescent="0.2">
      <c r="C359" s="62" t="s">
        <v>576</v>
      </c>
    </row>
    <row r="360" spans="3:3" ht="12.75" customHeight="1" x14ac:dyDescent="0.2">
      <c r="C360" s="62" t="s">
        <v>577</v>
      </c>
    </row>
    <row r="361" spans="3:3" ht="12.75" customHeight="1" x14ac:dyDescent="0.2">
      <c r="C361" s="62" t="s">
        <v>578</v>
      </c>
    </row>
    <row r="362" spans="3:3" ht="12.75" customHeight="1" x14ac:dyDescent="0.2">
      <c r="C362" s="62" t="s">
        <v>579</v>
      </c>
    </row>
    <row r="363" spans="3:3" ht="12.75" customHeight="1" x14ac:dyDescent="0.2">
      <c r="C363" s="62" t="s">
        <v>580</v>
      </c>
    </row>
    <row r="364" spans="3:3" ht="12.75" customHeight="1" x14ac:dyDescent="0.2">
      <c r="C364" s="62" t="s">
        <v>581</v>
      </c>
    </row>
    <row r="365" spans="3:3" ht="12.75" customHeight="1" x14ac:dyDescent="0.2">
      <c r="C365" s="62" t="s">
        <v>582</v>
      </c>
    </row>
    <row r="366" spans="3:3" ht="12.75" customHeight="1" x14ac:dyDescent="0.2">
      <c r="C366" s="62" t="s">
        <v>583</v>
      </c>
    </row>
    <row r="367" spans="3:3" ht="12.75" customHeight="1" x14ac:dyDescent="0.2">
      <c r="C367" s="62" t="s">
        <v>584</v>
      </c>
    </row>
    <row r="368" spans="3:3" ht="12.75" customHeight="1" x14ac:dyDescent="0.2">
      <c r="C368" s="62" t="s">
        <v>585</v>
      </c>
    </row>
    <row r="369" spans="3:3" ht="12.75" customHeight="1" x14ac:dyDescent="0.2">
      <c r="C369" s="62" t="s">
        <v>586</v>
      </c>
    </row>
    <row r="370" spans="3:3" ht="12.75" customHeight="1" x14ac:dyDescent="0.2">
      <c r="C370" s="62" t="s">
        <v>587</v>
      </c>
    </row>
    <row r="371" spans="3:3" ht="12.75" customHeight="1" x14ac:dyDescent="0.2">
      <c r="C371" s="62" t="s">
        <v>588</v>
      </c>
    </row>
    <row r="372" spans="3:3" ht="12.75" customHeight="1" x14ac:dyDescent="0.2">
      <c r="C372" s="62" t="s">
        <v>589</v>
      </c>
    </row>
    <row r="373" spans="3:3" ht="12.75" customHeight="1" x14ac:dyDescent="0.2">
      <c r="C373" s="62" t="s">
        <v>590</v>
      </c>
    </row>
    <row r="374" spans="3:3" ht="12.75" customHeight="1" x14ac:dyDescent="0.2">
      <c r="C374" s="62" t="s">
        <v>591</v>
      </c>
    </row>
    <row r="375" spans="3:3" ht="12.75" customHeight="1" x14ac:dyDescent="0.2">
      <c r="C375" s="62" t="s">
        <v>592</v>
      </c>
    </row>
    <row r="376" spans="3:3" ht="12.75" customHeight="1" x14ac:dyDescent="0.2">
      <c r="C376" s="62" t="s">
        <v>593</v>
      </c>
    </row>
    <row r="377" spans="3:3" ht="12.75" customHeight="1" x14ac:dyDescent="0.2">
      <c r="C377" s="62" t="s">
        <v>594</v>
      </c>
    </row>
    <row r="378" spans="3:3" ht="12.75" customHeight="1" x14ac:dyDescent="0.2">
      <c r="C378" s="62" t="s">
        <v>595</v>
      </c>
    </row>
    <row r="379" spans="3:3" ht="12.75" customHeight="1" x14ac:dyDescent="0.2">
      <c r="C379" s="62" t="s">
        <v>596</v>
      </c>
    </row>
    <row r="380" spans="3:3" ht="12.75" customHeight="1" x14ac:dyDescent="0.2">
      <c r="C380" s="62" t="s">
        <v>597</v>
      </c>
    </row>
    <row r="381" spans="3:3" ht="12.75" customHeight="1" x14ac:dyDescent="0.2">
      <c r="C381" s="62" t="s">
        <v>598</v>
      </c>
    </row>
    <row r="382" spans="3:3" ht="12.75" customHeight="1" x14ac:dyDescent="0.2">
      <c r="C382" s="62" t="s">
        <v>599</v>
      </c>
    </row>
    <row r="383" spans="3:3" ht="12.75" customHeight="1" x14ac:dyDescent="0.2">
      <c r="C383" s="62" t="s">
        <v>600</v>
      </c>
    </row>
    <row r="384" spans="3:3" ht="12.75" customHeight="1" x14ac:dyDescent="0.2">
      <c r="C384" s="62" t="s">
        <v>601</v>
      </c>
    </row>
    <row r="385" spans="3:3" ht="12.75" customHeight="1" x14ac:dyDescent="0.2">
      <c r="C385" s="62" t="s">
        <v>602</v>
      </c>
    </row>
  </sheetData>
  <sheetProtection selectLockedCells="1" selectUnlockedCells="1"/>
  <phoneticPr fontId="1" type="noConversion"/>
  <pageMargins left="0.75" right="0.75" top="1" bottom="1" header="0.5" footer="0.5"/>
  <pageSetup orientation="portrait" horizontalDpi="96" verticalDpi="96"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Y1323"/>
  <sheetViews>
    <sheetView zoomScale="85" zoomScaleNormal="85" workbookViewId="0">
      <selection activeCell="A2" sqref="A2:A623"/>
    </sheetView>
  </sheetViews>
  <sheetFormatPr defaultRowHeight="12.75" customHeight="1" x14ac:dyDescent="0.2"/>
  <cols>
    <col min="1" max="1" width="13.140625" style="55" customWidth="1"/>
    <col min="2" max="3" width="58" style="55" customWidth="1"/>
    <col min="4" max="4" width="14.85546875" style="55" customWidth="1"/>
    <col min="5" max="5" width="31.5703125" style="55" customWidth="1"/>
    <col min="6" max="6" width="9.85546875" style="55" customWidth="1"/>
    <col min="7" max="7" width="39.140625" style="55" customWidth="1"/>
    <col min="8" max="9" width="9.140625" style="55" customWidth="1"/>
    <col min="10" max="10" width="17.85546875" style="55" customWidth="1"/>
    <col min="11" max="11" width="9.42578125" style="55" customWidth="1"/>
    <col min="12" max="12" width="10.7109375" style="55" bestFit="1" customWidth="1"/>
    <col min="13" max="13" width="11.42578125" style="16" customWidth="1"/>
    <col min="14" max="14" width="19.7109375" style="55" customWidth="1"/>
    <col min="15" max="16" width="56" style="55" customWidth="1"/>
    <col min="17" max="17" width="16.42578125" style="55" bestFit="1" customWidth="1"/>
    <col min="18" max="18" width="8.7109375" style="55" bestFit="1" customWidth="1"/>
    <col min="19" max="19" width="8.85546875" style="55" bestFit="1" customWidth="1"/>
    <col min="20" max="20" width="15" style="55" bestFit="1" customWidth="1"/>
    <col min="21" max="21" width="16" style="55" bestFit="1" customWidth="1"/>
    <col min="22" max="22" width="9.7109375" style="55" bestFit="1" customWidth="1"/>
    <col min="23" max="23" width="11.140625" style="55" bestFit="1" customWidth="1"/>
    <col min="24" max="24" width="9.140625" style="55"/>
    <col min="25" max="25" width="16.42578125" style="55" bestFit="1" customWidth="1"/>
    <col min="26" max="16384" width="9.140625" style="55"/>
  </cols>
  <sheetData>
    <row r="1" spans="2:25" ht="12.75" customHeight="1" x14ac:dyDescent="0.15">
      <c r="B1" s="56" t="s">
        <v>2869</v>
      </c>
      <c r="C1" s="55" t="s">
        <v>44</v>
      </c>
      <c r="D1" s="55" t="s">
        <v>44</v>
      </c>
      <c r="E1" s="55" t="s">
        <v>44</v>
      </c>
      <c r="F1" s="55" t="s">
        <v>44</v>
      </c>
      <c r="G1" s="55" t="s">
        <v>44</v>
      </c>
      <c r="H1" s="55" t="s">
        <v>44</v>
      </c>
      <c r="I1" s="55" t="s">
        <v>44</v>
      </c>
      <c r="J1" s="55" t="s">
        <v>44</v>
      </c>
      <c r="K1" s="55" t="s">
        <v>44</v>
      </c>
      <c r="L1" s="55" t="s">
        <v>44</v>
      </c>
      <c r="M1" s="108" t="s">
        <v>104</v>
      </c>
      <c r="N1" s="55" t="s">
        <v>2858</v>
      </c>
      <c r="O1" s="80" t="s">
        <v>2751</v>
      </c>
      <c r="P1" s="80" t="s">
        <v>2751</v>
      </c>
      <c r="Q1" s="80" t="s">
        <v>2750</v>
      </c>
      <c r="R1" s="80" t="s">
        <v>2752</v>
      </c>
      <c r="S1" s="80" t="s">
        <v>2857</v>
      </c>
      <c r="T1" s="80" t="s">
        <v>2753</v>
      </c>
      <c r="U1" s="80" t="s">
        <v>2754</v>
      </c>
      <c r="V1" s="80" t="s">
        <v>2755</v>
      </c>
      <c r="W1" s="80" t="s">
        <v>2756</v>
      </c>
      <c r="Y1" s="80" t="s">
        <v>2750</v>
      </c>
    </row>
    <row r="2" spans="2:25" ht="12.75" customHeight="1" x14ac:dyDescent="0.15">
      <c r="B2" s="106" t="s">
        <v>2564</v>
      </c>
      <c r="C2" s="106" t="s">
        <v>2564</v>
      </c>
      <c r="D2" s="106" t="s">
        <v>2563</v>
      </c>
      <c r="E2" s="107" t="str">
        <f t="shared" ref="E2:E65" si="0">CONCATENATE(J2,", ",K2,", ",L2)</f>
        <v>CLEVELAND, OH, 44125</v>
      </c>
      <c r="F2" s="106" t="s">
        <v>2563</v>
      </c>
      <c r="G2" s="106" t="s">
        <v>2565</v>
      </c>
      <c r="H2" s="106" t="s">
        <v>2759</v>
      </c>
      <c r="I2" s="106" t="s">
        <v>2760</v>
      </c>
      <c r="J2" s="106" t="s">
        <v>843</v>
      </c>
      <c r="K2" s="106" t="s">
        <v>707</v>
      </c>
      <c r="L2" s="106" t="s">
        <v>2562</v>
      </c>
      <c r="M2" s="109">
        <v>43857</v>
      </c>
      <c r="N2" s="91">
        <f t="shared" ref="N2:N20" si="1">IF(O2=O1,1+N1,1)</f>
        <v>1</v>
      </c>
      <c r="O2" s="79" t="s">
        <v>2564</v>
      </c>
      <c r="P2" s="79" t="s">
        <v>2564</v>
      </c>
      <c r="Q2" s="79" t="s">
        <v>2563</v>
      </c>
      <c r="R2" s="79" t="s">
        <v>2759</v>
      </c>
      <c r="S2" s="79" t="s">
        <v>2760</v>
      </c>
      <c r="T2" s="79" t="s">
        <v>2565</v>
      </c>
      <c r="U2" s="79" t="s">
        <v>843</v>
      </c>
      <c r="V2" s="79" t="s">
        <v>707</v>
      </c>
      <c r="W2" s="79" t="s">
        <v>2562</v>
      </c>
      <c r="Y2" s="79" t="s">
        <v>2563</v>
      </c>
    </row>
    <row r="3" spans="2:25" ht="12.75" customHeight="1" x14ac:dyDescent="0.2">
      <c r="B3" s="106" t="s">
        <v>2555</v>
      </c>
      <c r="C3" s="106" t="s">
        <v>2555</v>
      </c>
      <c r="D3" s="106" t="s">
        <v>2554</v>
      </c>
      <c r="E3" s="107" t="str">
        <f t="shared" si="0"/>
        <v>PAINESVILLE, OH, 44077</v>
      </c>
      <c r="F3" s="106" t="s">
        <v>2554</v>
      </c>
      <c r="G3" s="106" t="s">
        <v>2556</v>
      </c>
      <c r="H3" s="106" t="s">
        <v>2759</v>
      </c>
      <c r="I3" s="106" t="s">
        <v>2761</v>
      </c>
      <c r="J3" s="106" t="s">
        <v>2557</v>
      </c>
      <c r="K3" s="106" t="s">
        <v>707</v>
      </c>
      <c r="L3" s="106" t="s">
        <v>2488</v>
      </c>
      <c r="N3" s="91">
        <f t="shared" si="1"/>
        <v>1</v>
      </c>
      <c r="O3" s="79" t="s">
        <v>2555</v>
      </c>
      <c r="P3" s="79" t="s">
        <v>2555</v>
      </c>
      <c r="Q3" s="79" t="s">
        <v>2554</v>
      </c>
      <c r="R3" s="79" t="s">
        <v>2759</v>
      </c>
      <c r="S3" s="79" t="s">
        <v>2761</v>
      </c>
      <c r="T3" s="79" t="s">
        <v>2556</v>
      </c>
      <c r="U3" s="79" t="s">
        <v>2557</v>
      </c>
      <c r="V3" s="79" t="s">
        <v>707</v>
      </c>
      <c r="W3" s="79" t="s">
        <v>2488</v>
      </c>
      <c r="Y3" s="79" t="s">
        <v>2554</v>
      </c>
    </row>
    <row r="4" spans="2:25" ht="12.75" customHeight="1" x14ac:dyDescent="0.2">
      <c r="B4" s="106" t="s">
        <v>1343</v>
      </c>
      <c r="C4" s="106" t="s">
        <v>1343</v>
      </c>
      <c r="D4" s="106" t="s">
        <v>1342</v>
      </c>
      <c r="E4" s="107" t="str">
        <f t="shared" si="0"/>
        <v>RICHFIELD, OH, 44286</v>
      </c>
      <c r="F4" s="106" t="s">
        <v>1342</v>
      </c>
      <c r="G4" s="106" t="s">
        <v>1344</v>
      </c>
      <c r="H4" s="106" t="s">
        <v>2762</v>
      </c>
      <c r="I4" s="106" t="s">
        <v>2763</v>
      </c>
      <c r="J4" s="106" t="s">
        <v>1345</v>
      </c>
      <c r="K4" s="106" t="s">
        <v>707</v>
      </c>
      <c r="L4" s="106" t="s">
        <v>1346</v>
      </c>
      <c r="N4" s="91">
        <f t="shared" si="1"/>
        <v>1</v>
      </c>
      <c r="O4" s="79" t="s">
        <v>1343</v>
      </c>
      <c r="P4" s="79" t="s">
        <v>1343</v>
      </c>
      <c r="Q4" s="79" t="s">
        <v>1342</v>
      </c>
      <c r="R4" s="79" t="s">
        <v>2762</v>
      </c>
      <c r="S4" s="79" t="s">
        <v>2763</v>
      </c>
      <c r="T4" s="79" t="s">
        <v>1344</v>
      </c>
      <c r="U4" s="79" t="s">
        <v>1345</v>
      </c>
      <c r="V4" s="79" t="s">
        <v>707</v>
      </c>
      <c r="W4" s="79" t="s">
        <v>1346</v>
      </c>
      <c r="Y4" s="79" t="s">
        <v>1342</v>
      </c>
    </row>
    <row r="5" spans="2:25" ht="12.75" customHeight="1" x14ac:dyDescent="0.2">
      <c r="B5" s="106" t="s">
        <v>2559</v>
      </c>
      <c r="C5" s="106" t="s">
        <v>2559</v>
      </c>
      <c r="D5" s="106" t="s">
        <v>2558</v>
      </c>
      <c r="E5" s="107" t="str">
        <f t="shared" si="0"/>
        <v>VALLEY VIEW, OH, 44125</v>
      </c>
      <c r="F5" s="106" t="s">
        <v>2558</v>
      </c>
      <c r="G5" s="106" t="s">
        <v>2560</v>
      </c>
      <c r="H5" s="106" t="s">
        <v>2759</v>
      </c>
      <c r="I5" s="106" t="s">
        <v>2760</v>
      </c>
      <c r="J5" s="106" t="s">
        <v>2561</v>
      </c>
      <c r="K5" s="106" t="s">
        <v>707</v>
      </c>
      <c r="L5" s="106" t="s">
        <v>2562</v>
      </c>
      <c r="N5" s="91">
        <f t="shared" si="1"/>
        <v>1</v>
      </c>
      <c r="O5" s="79" t="s">
        <v>2559</v>
      </c>
      <c r="P5" s="79" t="s">
        <v>2559</v>
      </c>
      <c r="Q5" s="79" t="s">
        <v>2558</v>
      </c>
      <c r="R5" s="79" t="s">
        <v>2759</v>
      </c>
      <c r="S5" s="79" t="s">
        <v>2760</v>
      </c>
      <c r="T5" s="79" t="s">
        <v>2560</v>
      </c>
      <c r="U5" s="79" t="s">
        <v>2561</v>
      </c>
      <c r="V5" s="79" t="s">
        <v>707</v>
      </c>
      <c r="W5" s="79" t="s">
        <v>2562</v>
      </c>
      <c r="Y5" s="79" t="s">
        <v>2558</v>
      </c>
    </row>
    <row r="6" spans="2:25" ht="12.75" customHeight="1" x14ac:dyDescent="0.2">
      <c r="B6" s="106" t="s">
        <v>2572</v>
      </c>
      <c r="C6" s="106" t="s">
        <v>2572</v>
      </c>
      <c r="D6" s="106" t="s">
        <v>2571</v>
      </c>
      <c r="E6" s="107" t="str">
        <f t="shared" si="0"/>
        <v>PAINESVILLE, OH, 44077</v>
      </c>
      <c r="F6" s="106" t="s">
        <v>2571</v>
      </c>
      <c r="G6" s="106" t="s">
        <v>2573</v>
      </c>
      <c r="H6" s="106" t="s">
        <v>2759</v>
      </c>
      <c r="I6" s="106" t="s">
        <v>2761</v>
      </c>
      <c r="J6" s="106" t="s">
        <v>2557</v>
      </c>
      <c r="K6" s="106" t="s">
        <v>707</v>
      </c>
      <c r="L6" s="106" t="s">
        <v>2488</v>
      </c>
      <c r="N6" s="91">
        <f t="shared" si="1"/>
        <v>1</v>
      </c>
      <c r="O6" s="79" t="s">
        <v>2572</v>
      </c>
      <c r="P6" s="79" t="s">
        <v>2572</v>
      </c>
      <c r="Q6" s="79" t="s">
        <v>2571</v>
      </c>
      <c r="R6" s="79" t="s">
        <v>2759</v>
      </c>
      <c r="S6" s="79" t="s">
        <v>2761</v>
      </c>
      <c r="T6" s="79" t="s">
        <v>2573</v>
      </c>
      <c r="U6" s="79" t="s">
        <v>2557</v>
      </c>
      <c r="V6" s="79" t="s">
        <v>707</v>
      </c>
      <c r="W6" s="79" t="s">
        <v>2488</v>
      </c>
      <c r="Y6" s="79" t="s">
        <v>2571</v>
      </c>
    </row>
    <row r="7" spans="2:25" ht="12.75" customHeight="1" x14ac:dyDescent="0.2">
      <c r="B7" s="106" t="s">
        <v>1455</v>
      </c>
      <c r="C7" s="106" t="s">
        <v>1455</v>
      </c>
      <c r="D7" s="106" t="s">
        <v>1454</v>
      </c>
      <c r="E7" s="107" t="str">
        <f t="shared" si="0"/>
        <v>HARRISVILLE, PA, 16088</v>
      </c>
      <c r="F7" s="106" t="s">
        <v>1454</v>
      </c>
      <c r="G7" s="106" t="s">
        <v>1456</v>
      </c>
      <c r="H7" s="106" t="s">
        <v>2762</v>
      </c>
      <c r="I7" s="106" t="s">
        <v>2764</v>
      </c>
      <c r="J7" s="106" t="s">
        <v>1457</v>
      </c>
      <c r="K7" s="106" t="s">
        <v>898</v>
      </c>
      <c r="L7" s="106" t="s">
        <v>1458</v>
      </c>
      <c r="N7" s="91">
        <f t="shared" si="1"/>
        <v>1</v>
      </c>
      <c r="O7" s="79" t="s">
        <v>1455</v>
      </c>
      <c r="P7" s="79" t="s">
        <v>1455</v>
      </c>
      <c r="Q7" s="79" t="s">
        <v>1454</v>
      </c>
      <c r="R7" s="79" t="s">
        <v>2762</v>
      </c>
      <c r="S7" s="79" t="s">
        <v>2764</v>
      </c>
      <c r="T7" s="79" t="s">
        <v>1456</v>
      </c>
      <c r="U7" s="79" t="s">
        <v>1457</v>
      </c>
      <c r="V7" s="79" t="s">
        <v>898</v>
      </c>
      <c r="W7" s="79" t="s">
        <v>1458</v>
      </c>
      <c r="Y7" s="79" t="s">
        <v>1454</v>
      </c>
    </row>
    <row r="8" spans="2:25" ht="12.75" customHeight="1" x14ac:dyDescent="0.2">
      <c r="B8" s="106" t="s">
        <v>1474</v>
      </c>
      <c r="C8" s="106" t="s">
        <v>1474</v>
      </c>
      <c r="D8" s="106" t="s">
        <v>1473</v>
      </c>
      <c r="E8" s="107" t="str">
        <f t="shared" si="0"/>
        <v>PORTERSVILLE, PA, 16051</v>
      </c>
      <c r="F8" s="106" t="s">
        <v>1473</v>
      </c>
      <c r="G8" s="106" t="s">
        <v>1475</v>
      </c>
      <c r="H8" s="106" t="s">
        <v>2762</v>
      </c>
      <c r="I8" s="106" t="s">
        <v>2765</v>
      </c>
      <c r="J8" s="106" t="s">
        <v>1476</v>
      </c>
      <c r="K8" s="106" t="s">
        <v>898</v>
      </c>
      <c r="L8" s="106" t="s">
        <v>1477</v>
      </c>
      <c r="N8" s="91">
        <f t="shared" si="1"/>
        <v>1</v>
      </c>
      <c r="O8" s="79" t="s">
        <v>1474</v>
      </c>
      <c r="P8" s="79" t="s">
        <v>1474</v>
      </c>
      <c r="Q8" s="79" t="s">
        <v>1473</v>
      </c>
      <c r="R8" s="79" t="s">
        <v>2762</v>
      </c>
      <c r="S8" s="79" t="s">
        <v>2765</v>
      </c>
      <c r="T8" s="79" t="s">
        <v>1475</v>
      </c>
      <c r="U8" s="79" t="s">
        <v>1476</v>
      </c>
      <c r="V8" s="79" t="s">
        <v>898</v>
      </c>
      <c r="W8" s="79" t="s">
        <v>1477</v>
      </c>
      <c r="Y8" s="79" t="s">
        <v>1473</v>
      </c>
    </row>
    <row r="9" spans="2:25" ht="12.75" customHeight="1" x14ac:dyDescent="0.2">
      <c r="B9" s="106" t="s">
        <v>1434</v>
      </c>
      <c r="C9" s="106" t="s">
        <v>1434</v>
      </c>
      <c r="D9" s="106" t="s">
        <v>1433</v>
      </c>
      <c r="E9" s="107" t="str">
        <f t="shared" si="0"/>
        <v>SLIPPERY ROCK, PA, 16057</v>
      </c>
      <c r="F9" s="106" t="s">
        <v>1433</v>
      </c>
      <c r="G9" s="106" t="s">
        <v>1435</v>
      </c>
      <c r="H9" s="106" t="s">
        <v>2762</v>
      </c>
      <c r="I9" s="106" t="s">
        <v>2764</v>
      </c>
      <c r="J9" s="106" t="s">
        <v>1431</v>
      </c>
      <c r="K9" s="106" t="s">
        <v>898</v>
      </c>
      <c r="L9" s="106" t="s">
        <v>1432</v>
      </c>
      <c r="N9" s="91">
        <f t="shared" si="1"/>
        <v>1</v>
      </c>
      <c r="O9" s="79" t="s">
        <v>1434</v>
      </c>
      <c r="P9" s="79" t="s">
        <v>1434</v>
      </c>
      <c r="Q9" s="79" t="s">
        <v>1433</v>
      </c>
      <c r="R9" s="79" t="s">
        <v>2762</v>
      </c>
      <c r="S9" s="79" t="s">
        <v>2764</v>
      </c>
      <c r="T9" s="79" t="s">
        <v>1435</v>
      </c>
      <c r="U9" s="79" t="s">
        <v>1431</v>
      </c>
      <c r="V9" s="79" t="s">
        <v>898</v>
      </c>
      <c r="W9" s="79" t="s">
        <v>1432</v>
      </c>
      <c r="Y9" s="79" t="s">
        <v>1433</v>
      </c>
    </row>
    <row r="10" spans="2:25" ht="12.75" customHeight="1" x14ac:dyDescent="0.2">
      <c r="B10" s="106" t="s">
        <v>1365</v>
      </c>
      <c r="C10" s="106" t="s">
        <v>1365</v>
      </c>
      <c r="D10" s="106" t="s">
        <v>1364</v>
      </c>
      <c r="E10" s="107" t="str">
        <f t="shared" si="0"/>
        <v>MASSILION, OH, 44646</v>
      </c>
      <c r="F10" s="106" t="s">
        <v>1364</v>
      </c>
      <c r="G10" s="106" t="s">
        <v>1366</v>
      </c>
      <c r="H10" s="106" t="s">
        <v>2762</v>
      </c>
      <c r="I10" s="106" t="s">
        <v>2766</v>
      </c>
      <c r="J10" s="106" t="s">
        <v>1367</v>
      </c>
      <c r="K10" s="106" t="s">
        <v>707</v>
      </c>
      <c r="L10" s="106" t="s">
        <v>886</v>
      </c>
      <c r="N10" s="91">
        <f t="shared" si="1"/>
        <v>1</v>
      </c>
      <c r="O10" s="79" t="s">
        <v>1365</v>
      </c>
      <c r="P10" s="79" t="s">
        <v>1365</v>
      </c>
      <c r="Q10" s="79" t="s">
        <v>1364</v>
      </c>
      <c r="R10" s="79" t="s">
        <v>2762</v>
      </c>
      <c r="S10" s="79" t="s">
        <v>2766</v>
      </c>
      <c r="T10" s="79" t="s">
        <v>1366</v>
      </c>
      <c r="U10" s="79" t="s">
        <v>1367</v>
      </c>
      <c r="V10" s="79" t="s">
        <v>707</v>
      </c>
      <c r="W10" s="79" t="s">
        <v>886</v>
      </c>
      <c r="Y10" s="79" t="s">
        <v>1364</v>
      </c>
    </row>
    <row r="11" spans="2:25" ht="12.75" customHeight="1" x14ac:dyDescent="0.2">
      <c r="B11" s="106" t="s">
        <v>1371</v>
      </c>
      <c r="C11" s="106" t="s">
        <v>1371</v>
      </c>
      <c r="D11" s="106" t="s">
        <v>1370</v>
      </c>
      <c r="E11" s="107" t="str">
        <f t="shared" si="0"/>
        <v>COPLEY, OH, 44321</v>
      </c>
      <c r="F11" s="106" t="s">
        <v>1370</v>
      </c>
      <c r="G11" s="106" t="s">
        <v>826</v>
      </c>
      <c r="H11" s="106" t="s">
        <v>2762</v>
      </c>
      <c r="I11" s="106" t="s">
        <v>2763</v>
      </c>
      <c r="J11" s="106" t="s">
        <v>827</v>
      </c>
      <c r="K11" s="106" t="s">
        <v>707</v>
      </c>
      <c r="L11" s="106" t="s">
        <v>828</v>
      </c>
      <c r="N11" s="91">
        <f t="shared" si="1"/>
        <v>1</v>
      </c>
      <c r="O11" s="79" t="s">
        <v>1371</v>
      </c>
      <c r="P11" s="79" t="s">
        <v>1371</v>
      </c>
      <c r="Q11" s="79" t="s">
        <v>1370</v>
      </c>
      <c r="R11" s="79" t="s">
        <v>2762</v>
      </c>
      <c r="S11" s="79" t="s">
        <v>2763</v>
      </c>
      <c r="T11" s="79" t="s">
        <v>826</v>
      </c>
      <c r="U11" s="79" t="s">
        <v>827</v>
      </c>
      <c r="V11" s="79" t="s">
        <v>707</v>
      </c>
      <c r="W11" s="79" t="s">
        <v>828</v>
      </c>
      <c r="Y11" s="79" t="s">
        <v>1370</v>
      </c>
    </row>
    <row r="12" spans="2:25" ht="12.75" customHeight="1" x14ac:dyDescent="0.2">
      <c r="B12" s="106" t="s">
        <v>1369</v>
      </c>
      <c r="C12" s="106" t="s">
        <v>1369</v>
      </c>
      <c r="D12" s="106" t="s">
        <v>1368</v>
      </c>
      <c r="E12" s="107" t="str">
        <f t="shared" si="0"/>
        <v>CLEVELAND, OH, 44113</v>
      </c>
      <c r="F12" s="106" t="s">
        <v>1368</v>
      </c>
      <c r="G12" s="106" t="s">
        <v>954</v>
      </c>
      <c r="H12" s="106" t="s">
        <v>2759</v>
      </c>
      <c r="I12" s="106" t="s">
        <v>2760</v>
      </c>
      <c r="J12" s="106" t="s">
        <v>843</v>
      </c>
      <c r="K12" s="106" t="s">
        <v>707</v>
      </c>
      <c r="L12" s="106" t="s">
        <v>955</v>
      </c>
      <c r="N12" s="91">
        <f t="shared" si="1"/>
        <v>1</v>
      </c>
      <c r="O12" s="79" t="s">
        <v>1369</v>
      </c>
      <c r="P12" s="79" t="s">
        <v>1369</v>
      </c>
      <c r="Q12" s="79" t="s">
        <v>1368</v>
      </c>
      <c r="R12" s="79" t="s">
        <v>2759</v>
      </c>
      <c r="S12" s="79" t="s">
        <v>2760</v>
      </c>
      <c r="T12" s="79" t="s">
        <v>954</v>
      </c>
      <c r="U12" s="79" t="s">
        <v>843</v>
      </c>
      <c r="V12" s="79" t="s">
        <v>707</v>
      </c>
      <c r="W12" s="79" t="s">
        <v>955</v>
      </c>
      <c r="Y12" s="79" t="s">
        <v>1368</v>
      </c>
    </row>
    <row r="13" spans="2:25" ht="12.75" customHeight="1" x14ac:dyDescent="0.2">
      <c r="B13" s="106" t="s">
        <v>1373</v>
      </c>
      <c r="C13" s="106" t="s">
        <v>1373</v>
      </c>
      <c r="D13" s="106" t="s">
        <v>1372</v>
      </c>
      <c r="E13" s="107" t="str">
        <f t="shared" si="0"/>
        <v>MEDINA, OH, 44256</v>
      </c>
      <c r="F13" s="106" t="s">
        <v>1372</v>
      </c>
      <c r="G13" s="106" t="s">
        <v>839</v>
      </c>
      <c r="H13" s="106" t="s">
        <v>2767</v>
      </c>
      <c r="I13" s="106" t="s">
        <v>2768</v>
      </c>
      <c r="J13" s="106" t="s">
        <v>835</v>
      </c>
      <c r="K13" s="106" t="s">
        <v>707</v>
      </c>
      <c r="L13" s="106" t="s">
        <v>836</v>
      </c>
      <c r="N13" s="91">
        <f t="shared" si="1"/>
        <v>1</v>
      </c>
      <c r="O13" s="79" t="s">
        <v>1373</v>
      </c>
      <c r="P13" s="79" t="s">
        <v>1373</v>
      </c>
      <c r="Q13" s="79" t="s">
        <v>1372</v>
      </c>
      <c r="R13" s="79" t="s">
        <v>2767</v>
      </c>
      <c r="S13" s="79" t="s">
        <v>2768</v>
      </c>
      <c r="T13" s="79" t="s">
        <v>839</v>
      </c>
      <c r="U13" s="79" t="s">
        <v>835</v>
      </c>
      <c r="V13" s="79" t="s">
        <v>707</v>
      </c>
      <c r="W13" s="79" t="s">
        <v>836</v>
      </c>
      <c r="Y13" s="79" t="s">
        <v>1372</v>
      </c>
    </row>
    <row r="14" spans="2:25" ht="12.75" customHeight="1" x14ac:dyDescent="0.2">
      <c r="B14" s="106" t="s">
        <v>1421</v>
      </c>
      <c r="C14" s="106" t="s">
        <v>1421</v>
      </c>
      <c r="D14" s="106" t="s">
        <v>1420</v>
      </c>
      <c r="E14" s="107" t="str">
        <f t="shared" si="0"/>
        <v>ALLIANCE, OH, 44601</v>
      </c>
      <c r="F14" s="106" t="s">
        <v>1420</v>
      </c>
      <c r="G14" s="106" t="s">
        <v>1422</v>
      </c>
      <c r="H14" s="106" t="s">
        <v>2762</v>
      </c>
      <c r="I14" s="106" t="s">
        <v>2766</v>
      </c>
      <c r="J14" s="106" t="s">
        <v>817</v>
      </c>
      <c r="K14" s="106" t="s">
        <v>707</v>
      </c>
      <c r="L14" s="106" t="s">
        <v>818</v>
      </c>
      <c r="N14" s="91">
        <f t="shared" si="1"/>
        <v>1</v>
      </c>
      <c r="O14" s="79" t="s">
        <v>1418</v>
      </c>
      <c r="P14" s="79" t="s">
        <v>1418</v>
      </c>
      <c r="Q14" s="79" t="s">
        <v>1417</v>
      </c>
      <c r="R14" s="79" t="s">
        <v>2762</v>
      </c>
      <c r="S14" s="79" t="s">
        <v>2769</v>
      </c>
      <c r="T14" s="79" t="s">
        <v>1419</v>
      </c>
      <c r="U14" s="79" t="s">
        <v>1303</v>
      </c>
      <c r="V14" s="79" t="s">
        <v>707</v>
      </c>
      <c r="W14" s="79" t="s">
        <v>1304</v>
      </c>
      <c r="Y14" s="79" t="s">
        <v>1417</v>
      </c>
    </row>
    <row r="15" spans="2:25" ht="12.75" customHeight="1" x14ac:dyDescent="0.2">
      <c r="B15" s="106" t="s">
        <v>1375</v>
      </c>
      <c r="C15" s="106" t="s">
        <v>1375</v>
      </c>
      <c r="D15" s="106" t="s">
        <v>1374</v>
      </c>
      <c r="E15" s="107" t="str">
        <f t="shared" si="0"/>
        <v>CLEVELAND, OH, 44135</v>
      </c>
      <c r="F15" s="106" t="s">
        <v>1374</v>
      </c>
      <c r="G15" s="106" t="s">
        <v>842</v>
      </c>
      <c r="H15" s="106" t="s">
        <v>2759</v>
      </c>
      <c r="I15" s="106" t="s">
        <v>2760</v>
      </c>
      <c r="J15" s="106" t="s">
        <v>843</v>
      </c>
      <c r="K15" s="106" t="s">
        <v>707</v>
      </c>
      <c r="L15" s="106" t="s">
        <v>844</v>
      </c>
      <c r="N15" s="91">
        <f t="shared" si="1"/>
        <v>1</v>
      </c>
      <c r="O15" s="79" t="s">
        <v>1421</v>
      </c>
      <c r="P15" s="79" t="s">
        <v>1421</v>
      </c>
      <c r="Q15" s="79" t="s">
        <v>1420</v>
      </c>
      <c r="R15" s="79" t="s">
        <v>2762</v>
      </c>
      <c r="S15" s="79" t="s">
        <v>2766</v>
      </c>
      <c r="T15" s="79" t="s">
        <v>1422</v>
      </c>
      <c r="U15" s="79" t="s">
        <v>817</v>
      </c>
      <c r="V15" s="79" t="s">
        <v>707</v>
      </c>
      <c r="W15" s="79" t="s">
        <v>818</v>
      </c>
      <c r="Y15" s="79" t="s">
        <v>1420</v>
      </c>
    </row>
    <row r="16" spans="2:25" ht="12.75" customHeight="1" x14ac:dyDescent="0.2">
      <c r="B16" s="106" t="s">
        <v>1424</v>
      </c>
      <c r="C16" s="106" t="s">
        <v>1424</v>
      </c>
      <c r="D16" s="106" t="s">
        <v>1423</v>
      </c>
      <c r="E16" s="107" t="str">
        <f t="shared" si="0"/>
        <v>CLEVELAND, OH, 44135</v>
      </c>
      <c r="F16" s="106" t="s">
        <v>1423</v>
      </c>
      <c r="G16" s="106" t="s">
        <v>842</v>
      </c>
      <c r="H16" s="106" t="s">
        <v>2759</v>
      </c>
      <c r="I16" s="106" t="s">
        <v>2760</v>
      </c>
      <c r="J16" s="106" t="s">
        <v>843</v>
      </c>
      <c r="K16" s="106" t="s">
        <v>707</v>
      </c>
      <c r="L16" s="106" t="s">
        <v>844</v>
      </c>
      <c r="N16" s="91">
        <f t="shared" si="1"/>
        <v>1</v>
      </c>
      <c r="O16" s="79" t="s">
        <v>1375</v>
      </c>
      <c r="P16" s="79" t="s">
        <v>1375</v>
      </c>
      <c r="Q16" s="79" t="s">
        <v>1374</v>
      </c>
      <c r="R16" s="79" t="s">
        <v>2759</v>
      </c>
      <c r="S16" s="79" t="s">
        <v>2760</v>
      </c>
      <c r="T16" s="79" t="s">
        <v>842</v>
      </c>
      <c r="U16" s="79" t="s">
        <v>843</v>
      </c>
      <c r="V16" s="79" t="s">
        <v>707</v>
      </c>
      <c r="W16" s="79" t="s">
        <v>844</v>
      </c>
      <c r="Y16" s="79" t="s">
        <v>1374</v>
      </c>
    </row>
    <row r="17" spans="2:25" ht="12.75" customHeight="1" x14ac:dyDescent="0.2">
      <c r="B17" s="106" t="s">
        <v>3081</v>
      </c>
      <c r="C17" s="106" t="s">
        <v>3081</v>
      </c>
      <c r="D17" s="106" t="s">
        <v>1451</v>
      </c>
      <c r="E17" s="107" t="str">
        <f t="shared" si="0"/>
        <v>MASSILLON, OH, 44646</v>
      </c>
      <c r="F17" s="106" t="s">
        <v>1451</v>
      </c>
      <c r="G17" s="106" t="s">
        <v>1453</v>
      </c>
      <c r="H17" s="106" t="s">
        <v>2762</v>
      </c>
      <c r="I17" s="106" t="s">
        <v>2766</v>
      </c>
      <c r="J17" s="106" t="s">
        <v>885</v>
      </c>
      <c r="K17" s="106" t="s">
        <v>707</v>
      </c>
      <c r="L17" s="106" t="s">
        <v>886</v>
      </c>
      <c r="N17" s="91">
        <f t="shared" si="1"/>
        <v>1</v>
      </c>
      <c r="O17" s="79" t="s">
        <v>1424</v>
      </c>
      <c r="P17" s="79" t="s">
        <v>1424</v>
      </c>
      <c r="Q17" s="79" t="s">
        <v>1423</v>
      </c>
      <c r="R17" s="79" t="s">
        <v>2759</v>
      </c>
      <c r="S17" s="79" t="s">
        <v>2760</v>
      </c>
      <c r="T17" s="79" t="s">
        <v>842</v>
      </c>
      <c r="U17" s="79" t="s">
        <v>843</v>
      </c>
      <c r="V17" s="79" t="s">
        <v>707</v>
      </c>
      <c r="W17" s="79" t="s">
        <v>844</v>
      </c>
      <c r="Y17" s="79" t="s">
        <v>1423</v>
      </c>
    </row>
    <row r="18" spans="2:25" ht="12.75" customHeight="1" x14ac:dyDescent="0.2">
      <c r="B18" s="106" t="s">
        <v>1255</v>
      </c>
      <c r="C18" s="106" t="s">
        <v>1255</v>
      </c>
      <c r="D18" s="106" t="s">
        <v>1254</v>
      </c>
      <c r="E18" s="107" t="str">
        <f t="shared" si="0"/>
        <v>MASSILLON, OH, 44647</v>
      </c>
      <c r="F18" s="106" t="s">
        <v>1254</v>
      </c>
      <c r="G18" s="106" t="s">
        <v>1256</v>
      </c>
      <c r="H18" s="106" t="s">
        <v>2762</v>
      </c>
      <c r="I18" s="106" t="s">
        <v>2766</v>
      </c>
      <c r="J18" s="106" t="s">
        <v>885</v>
      </c>
      <c r="K18" s="106" t="s">
        <v>707</v>
      </c>
      <c r="L18" s="106" t="s">
        <v>1257</v>
      </c>
      <c r="N18" s="91">
        <f t="shared" si="1"/>
        <v>1</v>
      </c>
      <c r="O18" s="79" t="s">
        <v>1452</v>
      </c>
      <c r="P18" s="79" t="s">
        <v>1452</v>
      </c>
      <c r="Q18" s="79" t="s">
        <v>1451</v>
      </c>
      <c r="R18" s="79" t="s">
        <v>2762</v>
      </c>
      <c r="S18" s="79" t="s">
        <v>2766</v>
      </c>
      <c r="T18" s="79" t="s">
        <v>1453</v>
      </c>
      <c r="U18" s="79" t="s">
        <v>885</v>
      </c>
      <c r="V18" s="79" t="s">
        <v>707</v>
      </c>
      <c r="W18" s="79" t="s">
        <v>886</v>
      </c>
      <c r="Y18" s="79" t="s">
        <v>1451</v>
      </c>
    </row>
    <row r="19" spans="2:25" ht="12.75" customHeight="1" x14ac:dyDescent="0.2">
      <c r="B19" s="106" t="s">
        <v>1259</v>
      </c>
      <c r="C19" s="106" t="s">
        <v>1259</v>
      </c>
      <c r="D19" s="106" t="s">
        <v>1258</v>
      </c>
      <c r="E19" s="107" t="str">
        <f t="shared" si="0"/>
        <v>MEDINA, OH, 44256</v>
      </c>
      <c r="F19" s="106" t="s">
        <v>1258</v>
      </c>
      <c r="G19" s="106" t="s">
        <v>839</v>
      </c>
      <c r="H19" s="106" t="s">
        <v>2767</v>
      </c>
      <c r="I19" s="106" t="s">
        <v>2768</v>
      </c>
      <c r="J19" s="106" t="s">
        <v>835</v>
      </c>
      <c r="K19" s="106" t="s">
        <v>707</v>
      </c>
      <c r="L19" s="106" t="s">
        <v>836</v>
      </c>
      <c r="N19" s="91">
        <f t="shared" si="1"/>
        <v>1</v>
      </c>
      <c r="O19" s="79" t="s">
        <v>1255</v>
      </c>
      <c r="P19" s="79" t="s">
        <v>1255</v>
      </c>
      <c r="Q19" s="79" t="s">
        <v>1254</v>
      </c>
      <c r="R19" s="79" t="s">
        <v>2762</v>
      </c>
      <c r="S19" s="79" t="s">
        <v>2766</v>
      </c>
      <c r="T19" s="79" t="s">
        <v>1256</v>
      </c>
      <c r="U19" s="79" t="s">
        <v>885</v>
      </c>
      <c r="V19" s="79" t="s">
        <v>707</v>
      </c>
      <c r="W19" s="79" t="s">
        <v>1257</v>
      </c>
      <c r="Y19" s="79" t="s">
        <v>1254</v>
      </c>
    </row>
    <row r="20" spans="2:25" ht="12.75" customHeight="1" x14ac:dyDescent="0.2">
      <c r="B20" s="106" t="s">
        <v>3087</v>
      </c>
      <c r="C20" s="106" t="s">
        <v>3087</v>
      </c>
      <c r="D20" s="106" t="s">
        <v>3088</v>
      </c>
      <c r="E20" s="107" t="str">
        <f t="shared" si="0"/>
        <v>ELLWOOD CITY, PA, 16117</v>
      </c>
      <c r="F20" s="106" t="s">
        <v>3088</v>
      </c>
      <c r="G20" s="106" t="s">
        <v>3089</v>
      </c>
      <c r="H20" s="106" t="s">
        <v>2780</v>
      </c>
      <c r="I20" s="106" t="s">
        <v>2764</v>
      </c>
      <c r="J20" s="106" t="s">
        <v>3090</v>
      </c>
      <c r="K20" s="106" t="s">
        <v>898</v>
      </c>
      <c r="L20" s="106" t="s">
        <v>3091</v>
      </c>
      <c r="N20" s="91">
        <f t="shared" si="1"/>
        <v>1</v>
      </c>
      <c r="O20" s="79" t="s">
        <v>1259</v>
      </c>
      <c r="P20" s="79" t="s">
        <v>1259</v>
      </c>
      <c r="Q20" s="79" t="s">
        <v>1258</v>
      </c>
      <c r="R20" s="79" t="s">
        <v>2767</v>
      </c>
      <c r="S20" s="79" t="s">
        <v>2768</v>
      </c>
      <c r="T20" s="79" t="s">
        <v>839</v>
      </c>
      <c r="U20" s="79" t="s">
        <v>835</v>
      </c>
      <c r="V20" s="79" t="s">
        <v>707</v>
      </c>
      <c r="W20" s="79" t="s">
        <v>836</v>
      </c>
      <c r="Y20" s="79" t="s">
        <v>1258</v>
      </c>
    </row>
    <row r="21" spans="2:25" ht="12.75" customHeight="1" x14ac:dyDescent="0.2">
      <c r="B21" s="106" t="s">
        <v>1261</v>
      </c>
      <c r="C21" s="106" t="s">
        <v>1261</v>
      </c>
      <c r="D21" s="106" t="s">
        <v>1260</v>
      </c>
      <c r="E21" s="107" t="str">
        <f t="shared" si="0"/>
        <v>WAMPUM, PA, 16157</v>
      </c>
      <c r="F21" s="106" t="s">
        <v>1260</v>
      </c>
      <c r="G21" s="106" t="s">
        <v>1262</v>
      </c>
      <c r="H21" s="106" t="s">
        <v>2762</v>
      </c>
      <c r="I21" s="106" t="s">
        <v>2765</v>
      </c>
      <c r="J21" s="106" t="s">
        <v>1263</v>
      </c>
      <c r="K21" s="106" t="s">
        <v>898</v>
      </c>
      <c r="L21" s="106" t="s">
        <v>1264</v>
      </c>
      <c r="N21" s="91">
        <f t="shared" ref="N21:N84" si="2">IF(O21=O20,1+N20,1)</f>
        <v>1</v>
      </c>
      <c r="O21" s="79" t="s">
        <v>1261</v>
      </c>
      <c r="P21" s="79" t="s">
        <v>1261</v>
      </c>
      <c r="Q21" s="79" t="s">
        <v>1260</v>
      </c>
      <c r="R21" s="79" t="s">
        <v>2762</v>
      </c>
      <c r="S21" s="79" t="s">
        <v>2765</v>
      </c>
      <c r="T21" s="79" t="s">
        <v>1262</v>
      </c>
      <c r="U21" s="79" t="s">
        <v>1263</v>
      </c>
      <c r="V21" s="79" t="s">
        <v>898</v>
      </c>
      <c r="W21" s="79" t="s">
        <v>1264</v>
      </c>
      <c r="Y21" s="79" t="s">
        <v>1260</v>
      </c>
    </row>
    <row r="22" spans="2:25" ht="12.75" customHeight="1" x14ac:dyDescent="0.2">
      <c r="B22" s="106" t="s">
        <v>3082</v>
      </c>
      <c r="C22" s="106" t="s">
        <v>3082</v>
      </c>
      <c r="D22" s="106" t="s">
        <v>3083</v>
      </c>
      <c r="E22" s="107" t="str">
        <f t="shared" si="0"/>
        <v>NEW CASTLE, PA, 16101</v>
      </c>
      <c r="F22" s="106" t="s">
        <v>3083</v>
      </c>
      <c r="G22" s="106" t="s">
        <v>3084</v>
      </c>
      <c r="H22" s="106" t="s">
        <v>2762</v>
      </c>
      <c r="I22" s="106" t="s">
        <v>2764</v>
      </c>
      <c r="J22" s="106" t="s">
        <v>3085</v>
      </c>
      <c r="K22" s="106" t="s">
        <v>898</v>
      </c>
      <c r="L22" s="106" t="s">
        <v>3086</v>
      </c>
      <c r="N22" s="91">
        <f t="shared" si="2"/>
        <v>1</v>
      </c>
      <c r="O22" s="79" t="s">
        <v>2069</v>
      </c>
      <c r="P22" s="79" t="s">
        <v>2069</v>
      </c>
      <c r="Q22" s="79" t="s">
        <v>2068</v>
      </c>
      <c r="R22" s="79" t="s">
        <v>2770</v>
      </c>
      <c r="S22" s="79" t="s">
        <v>2771</v>
      </c>
      <c r="T22" s="79" t="s">
        <v>2070</v>
      </c>
      <c r="U22" s="79" t="s">
        <v>2025</v>
      </c>
      <c r="V22" s="79" t="s">
        <v>707</v>
      </c>
      <c r="W22" s="79" t="s">
        <v>2026</v>
      </c>
      <c r="Y22" s="79" t="s">
        <v>2068</v>
      </c>
    </row>
    <row r="23" spans="2:25" ht="12.75" customHeight="1" x14ac:dyDescent="0.2">
      <c r="B23" s="106" t="s">
        <v>2069</v>
      </c>
      <c r="C23" s="106" t="s">
        <v>2069</v>
      </c>
      <c r="D23" s="106" t="s">
        <v>2068</v>
      </c>
      <c r="E23" s="107" t="str">
        <f t="shared" si="0"/>
        <v>BATAVIA, OH, 45103</v>
      </c>
      <c r="F23" s="106" t="s">
        <v>2068</v>
      </c>
      <c r="G23" s="106" t="s">
        <v>2070</v>
      </c>
      <c r="H23" s="106" t="s">
        <v>2770</v>
      </c>
      <c r="I23" s="106" t="s">
        <v>2771</v>
      </c>
      <c r="J23" s="106" t="s">
        <v>2025</v>
      </c>
      <c r="K23" s="106" t="s">
        <v>707</v>
      </c>
      <c r="L23" s="106" t="s">
        <v>2026</v>
      </c>
      <c r="N23" s="91">
        <f t="shared" si="2"/>
        <v>2</v>
      </c>
      <c r="O23" s="79" t="s">
        <v>2069</v>
      </c>
      <c r="P23" s="79" t="s">
        <v>2069</v>
      </c>
      <c r="Q23" s="79" t="s">
        <v>2722</v>
      </c>
      <c r="R23" s="79" t="s">
        <v>2770</v>
      </c>
      <c r="S23" s="79" t="s">
        <v>2771</v>
      </c>
      <c r="T23" s="79" t="s">
        <v>2070</v>
      </c>
      <c r="U23" s="79" t="s">
        <v>2025</v>
      </c>
      <c r="V23" s="79" t="s">
        <v>707</v>
      </c>
      <c r="W23" s="79" t="s">
        <v>2026</v>
      </c>
      <c r="Y23" s="79" t="s">
        <v>2722</v>
      </c>
    </row>
    <row r="24" spans="2:25" ht="12.75" customHeight="1" x14ac:dyDescent="0.2">
      <c r="B24" s="143" t="s">
        <v>2069</v>
      </c>
      <c r="C24" s="143" t="s">
        <v>2069</v>
      </c>
      <c r="D24" s="143" t="s">
        <v>2722</v>
      </c>
      <c r="E24" s="107" t="str">
        <f t="shared" si="0"/>
        <v>BATAVIA, OH, 45103</v>
      </c>
      <c r="F24" s="143" t="s">
        <v>2722</v>
      </c>
      <c r="G24" s="143" t="s">
        <v>2070</v>
      </c>
      <c r="H24" s="143" t="s">
        <v>2770</v>
      </c>
      <c r="I24" s="143" t="s">
        <v>2771</v>
      </c>
      <c r="J24" s="143" t="s">
        <v>2025</v>
      </c>
      <c r="K24" s="143" t="s">
        <v>707</v>
      </c>
      <c r="L24" s="143" t="s">
        <v>2026</v>
      </c>
      <c r="N24" s="91">
        <f t="shared" si="2"/>
        <v>1</v>
      </c>
      <c r="O24" s="79" t="s">
        <v>1190</v>
      </c>
      <c r="P24" s="79" t="s">
        <v>1190</v>
      </c>
      <c r="Q24" s="79" t="s">
        <v>1189</v>
      </c>
      <c r="R24" s="79" t="s">
        <v>2772</v>
      </c>
      <c r="S24" s="79" t="s">
        <v>2773</v>
      </c>
      <c r="T24" s="79" t="s">
        <v>1191</v>
      </c>
      <c r="U24" s="79" t="s">
        <v>993</v>
      </c>
      <c r="V24" s="79" t="s">
        <v>707</v>
      </c>
      <c r="W24" s="79" t="s">
        <v>994</v>
      </c>
      <c r="Y24" s="79" t="s">
        <v>1189</v>
      </c>
    </row>
    <row r="25" spans="2:25" ht="12.75" customHeight="1" x14ac:dyDescent="0.2">
      <c r="B25" s="106" t="s">
        <v>1190</v>
      </c>
      <c r="C25" s="106" t="s">
        <v>1190</v>
      </c>
      <c r="D25" s="106" t="s">
        <v>1189</v>
      </c>
      <c r="E25" s="107" t="str">
        <f t="shared" si="0"/>
        <v>WOODVILLE, OH, 43469</v>
      </c>
      <c r="F25" s="106" t="s">
        <v>1189</v>
      </c>
      <c r="G25" s="106" t="s">
        <v>1191</v>
      </c>
      <c r="H25" s="106" t="s">
        <v>2772</v>
      </c>
      <c r="I25" s="106" t="s">
        <v>2773</v>
      </c>
      <c r="J25" s="106" t="s">
        <v>993</v>
      </c>
      <c r="K25" s="106" t="s">
        <v>707</v>
      </c>
      <c r="L25" s="106" t="s">
        <v>994</v>
      </c>
      <c r="N25" s="91">
        <f t="shared" si="2"/>
        <v>2</v>
      </c>
      <c r="O25" s="79" t="s">
        <v>1190</v>
      </c>
      <c r="P25" s="79" t="s">
        <v>1190</v>
      </c>
      <c r="Q25" s="79" t="s">
        <v>2599</v>
      </c>
      <c r="R25" s="79" t="s">
        <v>2772</v>
      </c>
      <c r="S25" s="79" t="s">
        <v>2773</v>
      </c>
      <c r="T25" s="79" t="s">
        <v>1191</v>
      </c>
      <c r="U25" s="79" t="s">
        <v>993</v>
      </c>
      <c r="V25" s="79" t="s">
        <v>707</v>
      </c>
      <c r="W25" s="79" t="s">
        <v>994</v>
      </c>
      <c r="Y25" s="79" t="s">
        <v>2599</v>
      </c>
    </row>
    <row r="26" spans="2:25" ht="12.75" customHeight="1" x14ac:dyDescent="0.2">
      <c r="B26" s="106" t="s">
        <v>1190</v>
      </c>
      <c r="C26" s="106" t="s">
        <v>1190</v>
      </c>
      <c r="D26" s="106" t="s">
        <v>2599</v>
      </c>
      <c r="E26" s="107" t="str">
        <f t="shared" si="0"/>
        <v>WOODVILLE, OH, 43469</v>
      </c>
      <c r="F26" s="106" t="s">
        <v>2599</v>
      </c>
      <c r="G26" s="106" t="s">
        <v>1191</v>
      </c>
      <c r="H26" s="106" t="s">
        <v>2772</v>
      </c>
      <c r="I26" s="106" t="s">
        <v>2773</v>
      </c>
      <c r="J26" s="106" t="s">
        <v>993</v>
      </c>
      <c r="K26" s="106" t="s">
        <v>707</v>
      </c>
      <c r="L26" s="106" t="s">
        <v>994</v>
      </c>
      <c r="N26" s="91">
        <f t="shared" si="2"/>
        <v>1</v>
      </c>
      <c r="O26" s="79" t="s">
        <v>1193</v>
      </c>
      <c r="P26" s="79" t="s">
        <v>1193</v>
      </c>
      <c r="Q26" s="79" t="s">
        <v>1192</v>
      </c>
      <c r="R26" s="79" t="s">
        <v>2759</v>
      </c>
      <c r="S26" s="79" t="s">
        <v>2760</v>
      </c>
      <c r="T26" s="79" t="s">
        <v>1194</v>
      </c>
      <c r="U26" s="79" t="s">
        <v>843</v>
      </c>
      <c r="V26" s="79" t="s">
        <v>707</v>
      </c>
      <c r="W26" s="79" t="s">
        <v>1195</v>
      </c>
      <c r="Y26" s="79" t="s">
        <v>1192</v>
      </c>
    </row>
    <row r="27" spans="2:25" ht="12.75" customHeight="1" x14ac:dyDescent="0.2">
      <c r="B27" s="106" t="s">
        <v>1193</v>
      </c>
      <c r="C27" s="106" t="s">
        <v>1193</v>
      </c>
      <c r="D27" s="106" t="s">
        <v>1192</v>
      </c>
      <c r="E27" s="107" t="str">
        <f t="shared" si="0"/>
        <v>CLEVELAND, OH, 44110</v>
      </c>
      <c r="F27" s="106" t="s">
        <v>1192</v>
      </c>
      <c r="G27" s="106" t="s">
        <v>1194</v>
      </c>
      <c r="H27" s="106" t="s">
        <v>2759</v>
      </c>
      <c r="I27" s="106" t="s">
        <v>2760</v>
      </c>
      <c r="J27" s="106" t="s">
        <v>843</v>
      </c>
      <c r="K27" s="106" t="s">
        <v>707</v>
      </c>
      <c r="L27" s="106" t="s">
        <v>1195</v>
      </c>
      <c r="N27" s="91">
        <f t="shared" si="2"/>
        <v>2</v>
      </c>
      <c r="O27" s="79" t="s">
        <v>1193</v>
      </c>
      <c r="P27" s="79" t="s">
        <v>1193</v>
      </c>
      <c r="Q27" s="79" t="s">
        <v>2600</v>
      </c>
      <c r="R27" s="79" t="s">
        <v>2759</v>
      </c>
      <c r="S27" s="79" t="s">
        <v>2760</v>
      </c>
      <c r="T27" s="79" t="s">
        <v>2601</v>
      </c>
      <c r="U27" s="79" t="s">
        <v>843</v>
      </c>
      <c r="V27" s="79" t="s">
        <v>707</v>
      </c>
      <c r="W27" s="79" t="s">
        <v>1195</v>
      </c>
      <c r="Y27" s="79" t="s">
        <v>2600</v>
      </c>
    </row>
    <row r="28" spans="2:25" ht="12.75" customHeight="1" x14ac:dyDescent="0.2">
      <c r="B28" s="106" t="s">
        <v>1193</v>
      </c>
      <c r="C28" s="106" t="s">
        <v>1193</v>
      </c>
      <c r="D28" s="106" t="s">
        <v>2600</v>
      </c>
      <c r="E28" s="107" t="str">
        <f t="shared" si="0"/>
        <v>CLEVELAND, OH, 44110</v>
      </c>
      <c r="F28" s="106" t="s">
        <v>2600</v>
      </c>
      <c r="G28" s="106" t="s">
        <v>2601</v>
      </c>
      <c r="H28" s="106" t="s">
        <v>2759</v>
      </c>
      <c r="I28" s="106" t="s">
        <v>2760</v>
      </c>
      <c r="J28" s="106" t="s">
        <v>843</v>
      </c>
      <c r="K28" s="106" t="s">
        <v>707</v>
      </c>
      <c r="L28" s="106" t="s">
        <v>1195</v>
      </c>
      <c r="N28" s="91">
        <f t="shared" si="2"/>
        <v>1</v>
      </c>
      <c r="O28" s="79" t="s">
        <v>1290</v>
      </c>
      <c r="P28" s="79" t="s">
        <v>1290</v>
      </c>
      <c r="Q28" s="79" t="s">
        <v>1289</v>
      </c>
      <c r="R28" s="79" t="s">
        <v>2762</v>
      </c>
      <c r="S28" s="79" t="s">
        <v>2774</v>
      </c>
      <c r="T28" s="79" t="s">
        <v>1291</v>
      </c>
      <c r="U28" s="79" t="s">
        <v>1273</v>
      </c>
      <c r="V28" s="79" t="s">
        <v>707</v>
      </c>
      <c r="W28" s="79" t="s">
        <v>1274</v>
      </c>
      <c r="Y28" s="79" t="s">
        <v>1289</v>
      </c>
    </row>
    <row r="29" spans="2:25" ht="12.75" customHeight="1" x14ac:dyDescent="0.2">
      <c r="B29" s="106" t="s">
        <v>1290</v>
      </c>
      <c r="C29" s="106" t="s">
        <v>1290</v>
      </c>
      <c r="D29" s="106" t="s">
        <v>1289</v>
      </c>
      <c r="E29" s="107" t="str">
        <f t="shared" si="0"/>
        <v>MANTUA, OH, 44255</v>
      </c>
      <c r="F29" s="106" t="s">
        <v>1289</v>
      </c>
      <c r="G29" s="106" t="s">
        <v>1291</v>
      </c>
      <c r="H29" s="106" t="s">
        <v>2762</v>
      </c>
      <c r="I29" s="106" t="s">
        <v>2774</v>
      </c>
      <c r="J29" s="106" t="s">
        <v>1273</v>
      </c>
      <c r="K29" s="106" t="s">
        <v>707</v>
      </c>
      <c r="L29" s="106" t="s">
        <v>1274</v>
      </c>
      <c r="N29" s="91">
        <f t="shared" si="2"/>
        <v>1</v>
      </c>
      <c r="O29" s="79" t="s">
        <v>1442</v>
      </c>
      <c r="P29" s="79" t="s">
        <v>1442</v>
      </c>
      <c r="Q29" s="79" t="s">
        <v>1441</v>
      </c>
      <c r="R29" s="79" t="s">
        <v>2762</v>
      </c>
      <c r="S29" s="79" t="s">
        <v>2774</v>
      </c>
      <c r="T29" s="79" t="s">
        <v>1443</v>
      </c>
      <c r="U29" s="79" t="s">
        <v>1268</v>
      </c>
      <c r="V29" s="79" t="s">
        <v>707</v>
      </c>
      <c r="W29" s="79" t="s">
        <v>1269</v>
      </c>
      <c r="Y29" s="79" t="s">
        <v>1441</v>
      </c>
    </row>
    <row r="30" spans="2:25" ht="12.75" customHeight="1" x14ac:dyDescent="0.2">
      <c r="B30" s="106" t="s">
        <v>1442</v>
      </c>
      <c r="C30" s="106" t="s">
        <v>1442</v>
      </c>
      <c r="D30" s="106" t="s">
        <v>1441</v>
      </c>
      <c r="E30" s="107" t="str">
        <f t="shared" si="0"/>
        <v>RAVENNA, OH, 44266</v>
      </c>
      <c r="F30" s="106" t="s">
        <v>1441</v>
      </c>
      <c r="G30" s="106" t="s">
        <v>1443</v>
      </c>
      <c r="H30" s="106" t="s">
        <v>2762</v>
      </c>
      <c r="I30" s="106" t="s">
        <v>2774</v>
      </c>
      <c r="J30" s="106" t="s">
        <v>1268</v>
      </c>
      <c r="K30" s="106" t="s">
        <v>707</v>
      </c>
      <c r="L30" s="106" t="s">
        <v>1269</v>
      </c>
      <c r="N30" s="91">
        <f t="shared" si="2"/>
        <v>1</v>
      </c>
      <c r="O30" s="79" t="s">
        <v>1741</v>
      </c>
      <c r="P30" s="79" t="s">
        <v>1741</v>
      </c>
      <c r="Q30" s="79" t="s">
        <v>1740</v>
      </c>
      <c r="R30" s="79" t="s">
        <v>2775</v>
      </c>
      <c r="S30" s="79" t="s">
        <v>2776</v>
      </c>
      <c r="T30" s="79" t="s">
        <v>1742</v>
      </c>
      <c r="U30" s="79" t="s">
        <v>1743</v>
      </c>
      <c r="V30" s="79" t="s">
        <v>707</v>
      </c>
      <c r="W30" s="79" t="s">
        <v>1744</v>
      </c>
      <c r="Y30" s="79" t="s">
        <v>1740</v>
      </c>
    </row>
    <row r="31" spans="2:25" ht="12.75" customHeight="1" x14ac:dyDescent="0.2">
      <c r="B31" s="106" t="s">
        <v>1741</v>
      </c>
      <c r="C31" s="106" t="s">
        <v>1741</v>
      </c>
      <c r="D31" s="106" t="s">
        <v>1740</v>
      </c>
      <c r="E31" s="107" t="str">
        <f t="shared" si="0"/>
        <v>SIDNEY, OH, 45365</v>
      </c>
      <c r="F31" s="106" t="s">
        <v>1740</v>
      </c>
      <c r="G31" s="106" t="s">
        <v>1742</v>
      </c>
      <c r="H31" s="106" t="s">
        <v>2775</v>
      </c>
      <c r="I31" s="106" t="s">
        <v>2776</v>
      </c>
      <c r="J31" s="106" t="s">
        <v>1743</v>
      </c>
      <c r="K31" s="106" t="s">
        <v>707</v>
      </c>
      <c r="L31" s="106" t="s">
        <v>1744</v>
      </c>
      <c r="N31" s="91">
        <f t="shared" si="2"/>
        <v>1</v>
      </c>
      <c r="O31" s="79" t="s">
        <v>2704</v>
      </c>
      <c r="P31" s="79" t="s">
        <v>2704</v>
      </c>
      <c r="Q31" s="79" t="s">
        <v>2703</v>
      </c>
      <c r="R31" s="79" t="s">
        <v>2775</v>
      </c>
      <c r="S31" s="79" t="s">
        <v>2776</v>
      </c>
      <c r="T31" s="79" t="s">
        <v>2705</v>
      </c>
      <c r="U31" s="79" t="s">
        <v>1743</v>
      </c>
      <c r="V31" s="79" t="s">
        <v>707</v>
      </c>
      <c r="W31" s="79" t="s">
        <v>1744</v>
      </c>
      <c r="Y31" s="79" t="s">
        <v>2703</v>
      </c>
    </row>
    <row r="32" spans="2:25" ht="12.75" customHeight="1" x14ac:dyDescent="0.2">
      <c r="B32" s="143" t="s">
        <v>2704</v>
      </c>
      <c r="C32" s="143" t="s">
        <v>2704</v>
      </c>
      <c r="D32" s="143" t="s">
        <v>2703</v>
      </c>
      <c r="E32" s="107" t="str">
        <f t="shared" si="0"/>
        <v>SIDNEY, OH, 45365</v>
      </c>
      <c r="F32" s="143" t="s">
        <v>2703</v>
      </c>
      <c r="G32" s="143" t="s">
        <v>2705</v>
      </c>
      <c r="H32" s="143" t="s">
        <v>2775</v>
      </c>
      <c r="I32" s="143" t="s">
        <v>2776</v>
      </c>
      <c r="J32" s="143" t="s">
        <v>1743</v>
      </c>
      <c r="K32" s="143" t="s">
        <v>707</v>
      </c>
      <c r="L32" s="143" t="s">
        <v>1744</v>
      </c>
      <c r="N32" s="91">
        <f t="shared" si="2"/>
        <v>1</v>
      </c>
      <c r="O32" s="79" t="s">
        <v>1721</v>
      </c>
      <c r="P32" s="79" t="s">
        <v>1721</v>
      </c>
      <c r="Q32" s="79" t="s">
        <v>1720</v>
      </c>
      <c r="R32" s="79" t="s">
        <v>2775</v>
      </c>
      <c r="S32" s="79" t="s">
        <v>2777</v>
      </c>
      <c r="T32" s="79" t="s">
        <v>1722</v>
      </c>
      <c r="U32" s="79" t="s">
        <v>1723</v>
      </c>
      <c r="V32" s="79" t="s">
        <v>707</v>
      </c>
      <c r="W32" s="79" t="s">
        <v>1724</v>
      </c>
      <c r="Y32" s="79" t="s">
        <v>1720</v>
      </c>
    </row>
    <row r="33" spans="2:25" ht="12.75" customHeight="1" x14ac:dyDescent="0.2">
      <c r="B33" s="106" t="s">
        <v>1721</v>
      </c>
      <c r="C33" s="106" t="s">
        <v>1721</v>
      </c>
      <c r="D33" s="106" t="s">
        <v>1720</v>
      </c>
      <c r="E33" s="107" t="str">
        <f t="shared" si="0"/>
        <v>MIAMISBURG, OH, 45342</v>
      </c>
      <c r="F33" s="106" t="s">
        <v>1720</v>
      </c>
      <c r="G33" s="106" t="s">
        <v>2699</v>
      </c>
      <c r="H33" s="106" t="s">
        <v>2775</v>
      </c>
      <c r="I33" s="106" t="s">
        <v>2777</v>
      </c>
      <c r="J33" s="106" t="s">
        <v>1723</v>
      </c>
      <c r="K33" s="106" t="s">
        <v>707</v>
      </c>
      <c r="L33" s="106" t="s">
        <v>1724</v>
      </c>
      <c r="N33" s="91">
        <f t="shared" si="2"/>
        <v>2</v>
      </c>
      <c r="O33" s="79" t="s">
        <v>1721</v>
      </c>
      <c r="P33" s="79" t="s">
        <v>1721</v>
      </c>
      <c r="Q33" s="79" t="s">
        <v>2698</v>
      </c>
      <c r="R33" s="79" t="s">
        <v>2775</v>
      </c>
      <c r="S33" s="79" t="s">
        <v>2777</v>
      </c>
      <c r="T33" s="79" t="s">
        <v>2699</v>
      </c>
      <c r="U33" s="79" t="s">
        <v>1723</v>
      </c>
      <c r="V33" s="79" t="s">
        <v>707</v>
      </c>
      <c r="W33" s="79" t="s">
        <v>1724</v>
      </c>
      <c r="Y33" s="79" t="s">
        <v>2698</v>
      </c>
    </row>
    <row r="34" spans="2:25" ht="12.75" customHeight="1" x14ac:dyDescent="0.2">
      <c r="B34" s="143" t="s">
        <v>1721</v>
      </c>
      <c r="C34" s="143" t="s">
        <v>1721</v>
      </c>
      <c r="D34" s="143" t="s">
        <v>2698</v>
      </c>
      <c r="E34" s="107" t="str">
        <f t="shared" si="0"/>
        <v>MIAMISBURG, OH, 45342</v>
      </c>
      <c r="F34" s="143" t="s">
        <v>2698</v>
      </c>
      <c r="G34" s="143" t="s">
        <v>2699</v>
      </c>
      <c r="H34" s="143" t="s">
        <v>2775</v>
      </c>
      <c r="I34" s="143" t="s">
        <v>2777</v>
      </c>
      <c r="J34" s="143" t="s">
        <v>1723</v>
      </c>
      <c r="K34" s="143" t="s">
        <v>707</v>
      </c>
      <c r="L34" s="143" t="s">
        <v>1724</v>
      </c>
      <c r="N34" s="91">
        <f t="shared" si="2"/>
        <v>1</v>
      </c>
      <c r="O34" s="79" t="s">
        <v>1703</v>
      </c>
      <c r="P34" s="79" t="s">
        <v>1703</v>
      </c>
      <c r="Q34" s="79" t="s">
        <v>1702</v>
      </c>
      <c r="R34" s="79" t="s">
        <v>2775</v>
      </c>
      <c r="S34" s="79" t="s">
        <v>2778</v>
      </c>
      <c r="T34" s="79" t="s">
        <v>1704</v>
      </c>
      <c r="U34" s="79" t="s">
        <v>1705</v>
      </c>
      <c r="V34" s="79" t="s">
        <v>707</v>
      </c>
      <c r="W34" s="79" t="s">
        <v>1706</v>
      </c>
      <c r="Y34" s="79" t="s">
        <v>1702</v>
      </c>
    </row>
    <row r="35" spans="2:25" ht="12.75" customHeight="1" x14ac:dyDescent="0.2">
      <c r="B35" s="106" t="s">
        <v>1703</v>
      </c>
      <c r="C35" s="106" t="s">
        <v>1703</v>
      </c>
      <c r="D35" s="106" t="s">
        <v>1702</v>
      </c>
      <c r="E35" s="107" t="str">
        <f t="shared" si="0"/>
        <v>FAIRBORN, OH, 45324</v>
      </c>
      <c r="F35" s="106" t="s">
        <v>1702</v>
      </c>
      <c r="G35" s="106" t="s">
        <v>1704</v>
      </c>
      <c r="H35" s="106" t="s">
        <v>2775</v>
      </c>
      <c r="I35" s="106" t="s">
        <v>2778</v>
      </c>
      <c r="J35" s="106" t="s">
        <v>1705</v>
      </c>
      <c r="K35" s="106" t="s">
        <v>707</v>
      </c>
      <c r="L35" s="106" t="s">
        <v>1706</v>
      </c>
      <c r="N35" s="91">
        <f t="shared" si="2"/>
        <v>2</v>
      </c>
      <c r="O35" s="79" t="s">
        <v>1703</v>
      </c>
      <c r="P35" s="79" t="s">
        <v>1703</v>
      </c>
      <c r="Q35" s="79" t="s">
        <v>2697</v>
      </c>
      <c r="R35" s="79" t="s">
        <v>2775</v>
      </c>
      <c r="S35" s="79" t="s">
        <v>2778</v>
      </c>
      <c r="T35" s="79" t="s">
        <v>1704</v>
      </c>
      <c r="U35" s="79" t="s">
        <v>1705</v>
      </c>
      <c r="V35" s="79" t="s">
        <v>707</v>
      </c>
      <c r="W35" s="79" t="s">
        <v>1706</v>
      </c>
      <c r="Y35" s="79" t="s">
        <v>2697</v>
      </c>
    </row>
    <row r="36" spans="2:25" ht="12.75" customHeight="1" x14ac:dyDescent="0.2">
      <c r="B36" s="143" t="s">
        <v>1703</v>
      </c>
      <c r="C36" s="143" t="s">
        <v>1703</v>
      </c>
      <c r="D36" s="143" t="s">
        <v>2697</v>
      </c>
      <c r="E36" s="107" t="str">
        <f t="shared" si="0"/>
        <v>FAIRBORN, OH, 45324</v>
      </c>
      <c r="F36" s="143" t="s">
        <v>2697</v>
      </c>
      <c r="G36" s="143" t="s">
        <v>1704</v>
      </c>
      <c r="H36" s="143" t="s">
        <v>2775</v>
      </c>
      <c r="I36" s="143" t="s">
        <v>2778</v>
      </c>
      <c r="J36" s="143" t="s">
        <v>1705</v>
      </c>
      <c r="K36" s="143" t="s">
        <v>707</v>
      </c>
      <c r="L36" s="143" t="s">
        <v>1706</v>
      </c>
      <c r="N36" s="91">
        <f t="shared" si="2"/>
        <v>1</v>
      </c>
      <c r="O36" s="79" t="s">
        <v>1708</v>
      </c>
      <c r="P36" s="79" t="s">
        <v>1708</v>
      </c>
      <c r="Q36" s="79" t="s">
        <v>1707</v>
      </c>
      <c r="R36" s="79" t="s">
        <v>2775</v>
      </c>
      <c r="S36" s="79" t="s">
        <v>2779</v>
      </c>
      <c r="T36" s="79" t="s">
        <v>1709</v>
      </c>
      <c r="U36" s="79" t="s">
        <v>1710</v>
      </c>
      <c r="V36" s="79" t="s">
        <v>707</v>
      </c>
      <c r="W36" s="79" t="s">
        <v>1711</v>
      </c>
      <c r="Y36" s="79" t="s">
        <v>1707</v>
      </c>
    </row>
    <row r="37" spans="2:25" ht="12.75" customHeight="1" x14ac:dyDescent="0.2">
      <c r="B37" s="106" t="s">
        <v>1708</v>
      </c>
      <c r="C37" s="106" t="s">
        <v>1708</v>
      </c>
      <c r="D37" s="106" t="s">
        <v>1707</v>
      </c>
      <c r="E37" s="107" t="str">
        <f t="shared" si="0"/>
        <v>LUDLOW FALLS, OH, 45339</v>
      </c>
      <c r="F37" s="106" t="s">
        <v>1707</v>
      </c>
      <c r="G37" s="106" t="s">
        <v>1709</v>
      </c>
      <c r="H37" s="106" t="s">
        <v>2775</v>
      </c>
      <c r="I37" s="106" t="s">
        <v>2779</v>
      </c>
      <c r="J37" s="106" t="s">
        <v>1710</v>
      </c>
      <c r="K37" s="106" t="s">
        <v>707</v>
      </c>
      <c r="L37" s="106" t="s">
        <v>1711</v>
      </c>
      <c r="N37" s="91">
        <f t="shared" si="2"/>
        <v>1</v>
      </c>
      <c r="O37" s="79" t="s">
        <v>1954</v>
      </c>
      <c r="P37" s="79" t="s">
        <v>1954</v>
      </c>
      <c r="Q37" s="79" t="s">
        <v>1953</v>
      </c>
      <c r="R37" s="79" t="s">
        <v>2770</v>
      </c>
      <c r="S37" s="79" t="s">
        <v>2764</v>
      </c>
      <c r="T37" s="79" t="s">
        <v>1955</v>
      </c>
      <c r="U37" s="79" t="s">
        <v>1817</v>
      </c>
      <c r="V37" s="79" t="s">
        <v>723</v>
      </c>
      <c r="W37" s="79" t="s">
        <v>1818</v>
      </c>
      <c r="Y37" s="79" t="s">
        <v>1953</v>
      </c>
    </row>
    <row r="38" spans="2:25" ht="12.75" customHeight="1" x14ac:dyDescent="0.2">
      <c r="B38" s="106" t="s">
        <v>1954</v>
      </c>
      <c r="C38" s="106" t="s">
        <v>1954</v>
      </c>
      <c r="D38" s="106" t="s">
        <v>1953</v>
      </c>
      <c r="E38" s="107" t="str">
        <f t="shared" si="0"/>
        <v>RICHMOND, IN, 47374</v>
      </c>
      <c r="F38" s="106" t="s">
        <v>1953</v>
      </c>
      <c r="G38" s="106" t="s">
        <v>1955</v>
      </c>
      <c r="H38" s="106" t="s">
        <v>2770</v>
      </c>
      <c r="I38" s="106" t="s">
        <v>2764</v>
      </c>
      <c r="J38" s="106" t="s">
        <v>1817</v>
      </c>
      <c r="K38" s="106" t="s">
        <v>723</v>
      </c>
      <c r="L38" s="106" t="s">
        <v>1818</v>
      </c>
      <c r="N38" s="91">
        <f t="shared" si="2"/>
        <v>2</v>
      </c>
      <c r="O38" s="79" t="s">
        <v>1954</v>
      </c>
      <c r="P38" s="79" t="s">
        <v>1954</v>
      </c>
      <c r="Q38" s="79" t="s">
        <v>2718</v>
      </c>
      <c r="R38" s="79" t="s">
        <v>2770</v>
      </c>
      <c r="S38" s="79" t="s">
        <v>2764</v>
      </c>
      <c r="T38" s="79" t="s">
        <v>1955</v>
      </c>
      <c r="U38" s="79" t="s">
        <v>1817</v>
      </c>
      <c r="V38" s="79" t="s">
        <v>723</v>
      </c>
      <c r="W38" s="79" t="s">
        <v>1818</v>
      </c>
      <c r="Y38" s="79" t="s">
        <v>2718</v>
      </c>
    </row>
    <row r="39" spans="2:25" ht="12.75" customHeight="1" x14ac:dyDescent="0.2">
      <c r="B39" s="143" t="s">
        <v>1954</v>
      </c>
      <c r="C39" s="143" t="s">
        <v>1954</v>
      </c>
      <c r="D39" s="143" t="s">
        <v>2718</v>
      </c>
      <c r="E39" s="107" t="str">
        <f t="shared" si="0"/>
        <v>RICHMOND, IN, 47374</v>
      </c>
      <c r="F39" s="143" t="s">
        <v>2718</v>
      </c>
      <c r="G39" s="143" t="s">
        <v>1955</v>
      </c>
      <c r="H39" s="143" t="s">
        <v>2770</v>
      </c>
      <c r="I39" s="143" t="s">
        <v>2764</v>
      </c>
      <c r="J39" s="143" t="s">
        <v>1817</v>
      </c>
      <c r="K39" s="143" t="s">
        <v>723</v>
      </c>
      <c r="L39" s="143" t="s">
        <v>1818</v>
      </c>
      <c r="N39" s="91">
        <f t="shared" si="2"/>
        <v>1</v>
      </c>
      <c r="O39" s="79" t="s">
        <v>2086</v>
      </c>
      <c r="P39" s="79" t="s">
        <v>2086</v>
      </c>
      <c r="Q39" s="79" t="s">
        <v>2085</v>
      </c>
      <c r="R39" s="79" t="s">
        <v>2780</v>
      </c>
      <c r="S39" s="79" t="s">
        <v>2781</v>
      </c>
      <c r="T39" s="79" t="s">
        <v>2087</v>
      </c>
      <c r="U39" s="79" t="s">
        <v>2088</v>
      </c>
      <c r="V39" s="79" t="s">
        <v>707</v>
      </c>
      <c r="W39" s="79" t="s">
        <v>2089</v>
      </c>
      <c r="Y39" s="79" t="s">
        <v>2085</v>
      </c>
    </row>
    <row r="40" spans="2:25" ht="12.75" customHeight="1" x14ac:dyDescent="0.2">
      <c r="B40" s="106" t="s">
        <v>1266</v>
      </c>
      <c r="C40" s="106" t="s">
        <v>1266</v>
      </c>
      <c r="D40" s="106" t="s">
        <v>1265</v>
      </c>
      <c r="E40" s="107" t="str">
        <f t="shared" si="0"/>
        <v>RAVENNA, OH, 44266</v>
      </c>
      <c r="F40" s="106" t="s">
        <v>1265</v>
      </c>
      <c r="G40" s="106" t="s">
        <v>1267</v>
      </c>
      <c r="H40" s="106" t="s">
        <v>2762</v>
      </c>
      <c r="I40" s="106" t="s">
        <v>2774</v>
      </c>
      <c r="J40" s="106" t="s">
        <v>1268</v>
      </c>
      <c r="K40" s="106" t="s">
        <v>707</v>
      </c>
      <c r="L40" s="106" t="s">
        <v>1269</v>
      </c>
      <c r="N40" s="91">
        <f t="shared" si="2"/>
        <v>1</v>
      </c>
      <c r="O40" s="79" t="s">
        <v>1266</v>
      </c>
      <c r="P40" s="79" t="s">
        <v>1266</v>
      </c>
      <c r="Q40" s="79" t="s">
        <v>1265</v>
      </c>
      <c r="R40" s="79" t="s">
        <v>2762</v>
      </c>
      <c r="S40" s="79" t="s">
        <v>2774</v>
      </c>
      <c r="T40" s="79" t="s">
        <v>1267</v>
      </c>
      <c r="U40" s="79" t="s">
        <v>1268</v>
      </c>
      <c r="V40" s="79" t="s">
        <v>707</v>
      </c>
      <c r="W40" s="79" t="s">
        <v>1269</v>
      </c>
      <c r="Y40" s="79" t="s">
        <v>1265</v>
      </c>
    </row>
    <row r="41" spans="2:25" ht="12.75" customHeight="1" x14ac:dyDescent="0.2">
      <c r="B41" s="106" t="s">
        <v>2312</v>
      </c>
      <c r="C41" s="106" t="s">
        <v>2312</v>
      </c>
      <c r="D41" s="106" t="s">
        <v>2311</v>
      </c>
      <c r="E41" s="107" t="str">
        <f t="shared" si="0"/>
        <v>LITTLE HOCKING, OH, 45742</v>
      </c>
      <c r="F41" s="106" t="s">
        <v>2311</v>
      </c>
      <c r="G41" s="106" t="s">
        <v>2313</v>
      </c>
      <c r="H41" s="106" t="s">
        <v>2782</v>
      </c>
      <c r="I41" s="106" t="s">
        <v>2783</v>
      </c>
      <c r="J41" s="106" t="s">
        <v>2314</v>
      </c>
      <c r="K41" s="106" t="s">
        <v>707</v>
      </c>
      <c r="L41" s="106" t="s">
        <v>2315</v>
      </c>
      <c r="N41" s="91">
        <f t="shared" si="2"/>
        <v>1</v>
      </c>
      <c r="O41" s="79" t="s">
        <v>2312</v>
      </c>
      <c r="P41" s="79" t="s">
        <v>2312</v>
      </c>
      <c r="Q41" s="79" t="s">
        <v>2311</v>
      </c>
      <c r="R41" s="79" t="s">
        <v>2782</v>
      </c>
      <c r="S41" s="79" t="s">
        <v>2783</v>
      </c>
      <c r="T41" s="79" t="s">
        <v>2313</v>
      </c>
      <c r="U41" s="79" t="s">
        <v>2314</v>
      </c>
      <c r="V41" s="79" t="s">
        <v>707</v>
      </c>
      <c r="W41" s="79" t="s">
        <v>2315</v>
      </c>
      <c r="Y41" s="79" t="s">
        <v>2311</v>
      </c>
    </row>
    <row r="42" spans="2:25" ht="12.75" customHeight="1" x14ac:dyDescent="0.2">
      <c r="B42" s="143" t="s">
        <v>2312</v>
      </c>
      <c r="C42" s="143" t="s">
        <v>2312</v>
      </c>
      <c r="D42" s="143" t="s">
        <v>2737</v>
      </c>
      <c r="E42" s="107" t="str">
        <f t="shared" si="0"/>
        <v>LITTLE HOCKING, OH, 45742</v>
      </c>
      <c r="F42" s="143" t="s">
        <v>2737</v>
      </c>
      <c r="G42" s="143" t="s">
        <v>2313</v>
      </c>
      <c r="H42" s="143" t="s">
        <v>2782</v>
      </c>
      <c r="I42" s="143" t="s">
        <v>2783</v>
      </c>
      <c r="J42" s="143" t="s">
        <v>2314</v>
      </c>
      <c r="K42" s="143" t="s">
        <v>707</v>
      </c>
      <c r="L42" s="143" t="s">
        <v>2315</v>
      </c>
      <c r="N42" s="91">
        <f t="shared" si="2"/>
        <v>2</v>
      </c>
      <c r="O42" s="79" t="s">
        <v>2312</v>
      </c>
      <c r="P42" s="79" t="s">
        <v>2312</v>
      </c>
      <c r="Q42" s="79" t="s">
        <v>2737</v>
      </c>
      <c r="R42" s="79" t="s">
        <v>2782</v>
      </c>
      <c r="S42" s="79" t="s">
        <v>2783</v>
      </c>
      <c r="T42" s="79" t="s">
        <v>2313</v>
      </c>
      <c r="U42" s="79" t="s">
        <v>2314</v>
      </c>
      <c r="V42" s="79" t="s">
        <v>707</v>
      </c>
      <c r="W42" s="79" t="s">
        <v>2315</v>
      </c>
      <c r="Y42" s="79" t="s">
        <v>2737</v>
      </c>
    </row>
    <row r="43" spans="2:25" ht="12.75" customHeight="1" x14ac:dyDescent="0.2">
      <c r="B43" s="106" t="s">
        <v>2323</v>
      </c>
      <c r="C43" s="106" t="s">
        <v>2323</v>
      </c>
      <c r="D43" s="106" t="s">
        <v>2322</v>
      </c>
      <c r="E43" s="107" t="str">
        <f t="shared" si="0"/>
        <v>MARIETTA, OH, 45750</v>
      </c>
      <c r="F43" s="106" t="s">
        <v>2322</v>
      </c>
      <c r="G43" s="106" t="s">
        <v>1992</v>
      </c>
      <c r="H43" s="106" t="s">
        <v>2782</v>
      </c>
      <c r="I43" s="106" t="s">
        <v>2784</v>
      </c>
      <c r="J43" s="106" t="s">
        <v>1979</v>
      </c>
      <c r="K43" s="106" t="s">
        <v>707</v>
      </c>
      <c r="L43" s="106" t="s">
        <v>1980</v>
      </c>
      <c r="N43" s="91">
        <f t="shared" si="2"/>
        <v>1</v>
      </c>
      <c r="O43" s="79" t="s">
        <v>2323</v>
      </c>
      <c r="P43" s="79" t="s">
        <v>2323</v>
      </c>
      <c r="Q43" s="79" t="s">
        <v>2322</v>
      </c>
      <c r="R43" s="79" t="s">
        <v>2782</v>
      </c>
      <c r="S43" s="79" t="s">
        <v>2784</v>
      </c>
      <c r="T43" s="79" t="s">
        <v>1992</v>
      </c>
      <c r="U43" s="79" t="s">
        <v>1979</v>
      </c>
      <c r="V43" s="79" t="s">
        <v>707</v>
      </c>
      <c r="W43" s="79" t="s">
        <v>1980</v>
      </c>
      <c r="Y43" s="79" t="s">
        <v>2322</v>
      </c>
    </row>
    <row r="44" spans="2:25" ht="12.75" customHeight="1" x14ac:dyDescent="0.2">
      <c r="B44" s="106" t="s">
        <v>2321</v>
      </c>
      <c r="C44" s="106" t="s">
        <v>2321</v>
      </c>
      <c r="D44" s="106" t="s">
        <v>2320</v>
      </c>
      <c r="E44" s="107" t="str">
        <f t="shared" si="0"/>
        <v>NEW MARTINSVILLE, WV, 26155</v>
      </c>
      <c r="F44" s="106" t="s">
        <v>2320</v>
      </c>
      <c r="G44" s="106" t="s">
        <v>1913</v>
      </c>
      <c r="H44" s="106" t="s">
        <v>2782</v>
      </c>
      <c r="I44" s="106" t="s">
        <v>2764</v>
      </c>
      <c r="J44" s="106" t="s">
        <v>1914</v>
      </c>
      <c r="K44" s="106" t="s">
        <v>1489</v>
      </c>
      <c r="L44" s="106" t="s">
        <v>1915</v>
      </c>
      <c r="N44" s="91">
        <f t="shared" si="2"/>
        <v>1</v>
      </c>
      <c r="O44" s="79" t="s">
        <v>2321</v>
      </c>
      <c r="P44" s="79" t="s">
        <v>2321</v>
      </c>
      <c r="Q44" s="79" t="s">
        <v>2320</v>
      </c>
      <c r="R44" s="79" t="s">
        <v>2782</v>
      </c>
      <c r="S44" s="79" t="s">
        <v>2764</v>
      </c>
      <c r="T44" s="79" t="s">
        <v>1913</v>
      </c>
      <c r="U44" s="79" t="s">
        <v>1914</v>
      </c>
      <c r="V44" s="79" t="s">
        <v>1489</v>
      </c>
      <c r="W44" s="79" t="s">
        <v>1915</v>
      </c>
      <c r="Y44" s="79" t="s">
        <v>2320</v>
      </c>
    </row>
    <row r="45" spans="2:25" ht="12.75" customHeight="1" x14ac:dyDescent="0.2">
      <c r="B45" s="106" t="s">
        <v>2319</v>
      </c>
      <c r="C45" s="106" t="s">
        <v>2319</v>
      </c>
      <c r="D45" s="106" t="s">
        <v>2318</v>
      </c>
      <c r="E45" s="107" t="str">
        <f t="shared" si="0"/>
        <v>RAVENSWOOD, WV, 26164</v>
      </c>
      <c r="F45" s="106" t="s">
        <v>2318</v>
      </c>
      <c r="G45" s="106" t="s">
        <v>1908</v>
      </c>
      <c r="H45" s="106" t="s">
        <v>2782</v>
      </c>
      <c r="I45" s="106" t="s">
        <v>2764</v>
      </c>
      <c r="J45" s="106" t="s">
        <v>1909</v>
      </c>
      <c r="K45" s="106" t="s">
        <v>1489</v>
      </c>
      <c r="L45" s="106" t="s">
        <v>1910</v>
      </c>
      <c r="N45" s="91">
        <f t="shared" si="2"/>
        <v>1</v>
      </c>
      <c r="O45" s="79" t="s">
        <v>2319</v>
      </c>
      <c r="P45" s="79" t="s">
        <v>2319</v>
      </c>
      <c r="Q45" s="79" t="s">
        <v>2318</v>
      </c>
      <c r="R45" s="79" t="s">
        <v>2782</v>
      </c>
      <c r="S45" s="79" t="s">
        <v>2764</v>
      </c>
      <c r="T45" s="79" t="s">
        <v>1908</v>
      </c>
      <c r="U45" s="79" t="s">
        <v>1909</v>
      </c>
      <c r="V45" s="79" t="s">
        <v>1489</v>
      </c>
      <c r="W45" s="79" t="s">
        <v>1910</v>
      </c>
      <c r="Y45" s="79" t="s">
        <v>2318</v>
      </c>
    </row>
    <row r="46" spans="2:25" ht="12.75" customHeight="1" x14ac:dyDescent="0.2">
      <c r="B46" s="106" t="s">
        <v>2317</v>
      </c>
      <c r="C46" s="106" t="s">
        <v>2317</v>
      </c>
      <c r="D46" s="106" t="s">
        <v>2316</v>
      </c>
      <c r="E46" s="107" t="str">
        <f t="shared" si="0"/>
        <v>PARKERSBURG, WV, 26101</v>
      </c>
      <c r="F46" s="106" t="s">
        <v>2316</v>
      </c>
      <c r="G46" s="106" t="s">
        <v>1900</v>
      </c>
      <c r="H46" s="106" t="s">
        <v>2782</v>
      </c>
      <c r="I46" s="106" t="s">
        <v>2764</v>
      </c>
      <c r="J46" s="106" t="s">
        <v>1901</v>
      </c>
      <c r="K46" s="106" t="s">
        <v>1489</v>
      </c>
      <c r="L46" s="106" t="s">
        <v>1902</v>
      </c>
      <c r="N46" s="91">
        <f t="shared" si="2"/>
        <v>1</v>
      </c>
      <c r="O46" s="79" t="s">
        <v>2317</v>
      </c>
      <c r="P46" s="79" t="s">
        <v>2317</v>
      </c>
      <c r="Q46" s="79" t="s">
        <v>2316</v>
      </c>
      <c r="R46" s="79" t="s">
        <v>2782</v>
      </c>
      <c r="S46" s="79" t="s">
        <v>2764</v>
      </c>
      <c r="T46" s="79" t="s">
        <v>1900</v>
      </c>
      <c r="U46" s="79" t="s">
        <v>1901</v>
      </c>
      <c r="V46" s="79" t="s">
        <v>1489</v>
      </c>
      <c r="W46" s="79" t="s">
        <v>1902</v>
      </c>
      <c r="Y46" s="79" t="s">
        <v>2316</v>
      </c>
    </row>
    <row r="47" spans="2:25" ht="12.75" customHeight="1" x14ac:dyDescent="0.2">
      <c r="B47" s="106" t="s">
        <v>2478</v>
      </c>
      <c r="C47" s="106" t="s">
        <v>2478</v>
      </c>
      <c r="D47" s="106" t="s">
        <v>2477</v>
      </c>
      <c r="E47" s="107" t="str">
        <f t="shared" si="0"/>
        <v>CHARDON, OH, 44024</v>
      </c>
      <c r="F47" s="106" t="s">
        <v>2477</v>
      </c>
      <c r="G47" s="106" t="s">
        <v>2479</v>
      </c>
      <c r="H47" s="106" t="s">
        <v>2759</v>
      </c>
      <c r="I47" s="106" t="s">
        <v>2785</v>
      </c>
      <c r="J47" s="106" t="s">
        <v>2480</v>
      </c>
      <c r="K47" s="106" t="s">
        <v>707</v>
      </c>
      <c r="L47" s="106" t="s">
        <v>2481</v>
      </c>
      <c r="N47" s="91">
        <f t="shared" si="2"/>
        <v>1</v>
      </c>
      <c r="O47" s="79" t="s">
        <v>2478</v>
      </c>
      <c r="P47" s="79" t="s">
        <v>2478</v>
      </c>
      <c r="Q47" s="79" t="s">
        <v>2477</v>
      </c>
      <c r="R47" s="79" t="s">
        <v>2759</v>
      </c>
      <c r="S47" s="79" t="s">
        <v>2785</v>
      </c>
      <c r="T47" s="79" t="s">
        <v>2479</v>
      </c>
      <c r="U47" s="79" t="s">
        <v>2480</v>
      </c>
      <c r="V47" s="79" t="s">
        <v>707</v>
      </c>
      <c r="W47" s="79" t="s">
        <v>2481</v>
      </c>
      <c r="Y47" s="79" t="s">
        <v>2477</v>
      </c>
    </row>
    <row r="48" spans="2:25" ht="12.75" customHeight="1" x14ac:dyDescent="0.2">
      <c r="B48" s="106" t="s">
        <v>1384</v>
      </c>
      <c r="C48" s="106" t="s">
        <v>1384</v>
      </c>
      <c r="D48" s="106" t="s">
        <v>1383</v>
      </c>
      <c r="E48" s="107" t="str">
        <f t="shared" si="0"/>
        <v>YOUNGSTOWN, OH, 44502</v>
      </c>
      <c r="F48" s="106" t="s">
        <v>1383</v>
      </c>
      <c r="G48" s="106" t="s">
        <v>1385</v>
      </c>
      <c r="H48" s="106" t="s">
        <v>2762</v>
      </c>
      <c r="I48" s="106" t="s">
        <v>2769</v>
      </c>
      <c r="J48" s="106" t="s">
        <v>808</v>
      </c>
      <c r="K48" s="106" t="s">
        <v>707</v>
      </c>
      <c r="L48" s="106" t="s">
        <v>1386</v>
      </c>
      <c r="N48" s="91">
        <f t="shared" si="2"/>
        <v>1</v>
      </c>
      <c r="O48" s="79" t="s">
        <v>1384</v>
      </c>
      <c r="P48" s="79" t="s">
        <v>1384</v>
      </c>
      <c r="Q48" s="79" t="s">
        <v>1383</v>
      </c>
      <c r="R48" s="79" t="s">
        <v>2762</v>
      </c>
      <c r="S48" s="79" t="s">
        <v>2769</v>
      </c>
      <c r="T48" s="79" t="s">
        <v>1385</v>
      </c>
      <c r="U48" s="79" t="s">
        <v>808</v>
      </c>
      <c r="V48" s="79" t="s">
        <v>707</v>
      </c>
      <c r="W48" s="79" t="s">
        <v>1386</v>
      </c>
      <c r="Y48" s="79" t="s">
        <v>1383</v>
      </c>
    </row>
    <row r="49" spans="2:25" ht="12.75" customHeight="1" x14ac:dyDescent="0.2">
      <c r="B49" s="106" t="s">
        <v>1577</v>
      </c>
      <c r="C49" s="106" t="s">
        <v>1577</v>
      </c>
      <c r="D49" s="106" t="s">
        <v>1576</v>
      </c>
      <c r="E49" s="107" t="str">
        <f t="shared" si="0"/>
        <v>ALEXANDRIA, OH, 43001</v>
      </c>
      <c r="F49" s="106" t="s">
        <v>1576</v>
      </c>
      <c r="G49" s="106" t="s">
        <v>1578</v>
      </c>
      <c r="H49" s="106" t="s">
        <v>2786</v>
      </c>
      <c r="I49" s="106" t="s">
        <v>2787</v>
      </c>
      <c r="J49" s="106" t="s">
        <v>1579</v>
      </c>
      <c r="K49" s="106" t="s">
        <v>707</v>
      </c>
      <c r="L49" s="106" t="s">
        <v>1580</v>
      </c>
      <c r="N49" s="91">
        <f t="shared" si="2"/>
        <v>1</v>
      </c>
      <c r="O49" s="79" t="s">
        <v>1577</v>
      </c>
      <c r="P49" s="79" t="s">
        <v>1577</v>
      </c>
      <c r="Q49" s="79" t="s">
        <v>1576</v>
      </c>
      <c r="R49" s="79" t="s">
        <v>2786</v>
      </c>
      <c r="S49" s="79" t="s">
        <v>2787</v>
      </c>
      <c r="T49" s="79" t="s">
        <v>1578</v>
      </c>
      <c r="U49" s="79" t="s">
        <v>1579</v>
      </c>
      <c r="V49" s="79" t="s">
        <v>707</v>
      </c>
      <c r="W49" s="79" t="s">
        <v>1580</v>
      </c>
      <c r="Y49" s="79" t="s">
        <v>1576</v>
      </c>
    </row>
    <row r="50" spans="2:25" ht="12.75" customHeight="1" x14ac:dyDescent="0.2">
      <c r="B50" s="106" t="s">
        <v>1766</v>
      </c>
      <c r="C50" s="106" t="s">
        <v>1766</v>
      </c>
      <c r="D50" s="106" t="s">
        <v>1765</v>
      </c>
      <c r="E50" s="107" t="str">
        <f t="shared" si="0"/>
        <v>BRADFORD, OH, 45308</v>
      </c>
      <c r="F50" s="106" t="s">
        <v>1765</v>
      </c>
      <c r="G50" s="106" t="s">
        <v>1767</v>
      </c>
      <c r="H50" s="106" t="s">
        <v>2775</v>
      </c>
      <c r="I50" s="106" t="s">
        <v>2779</v>
      </c>
      <c r="J50" s="106" t="s">
        <v>1768</v>
      </c>
      <c r="K50" s="106" t="s">
        <v>707</v>
      </c>
      <c r="L50" s="106" t="s">
        <v>1769</v>
      </c>
      <c r="N50" s="91">
        <f t="shared" si="2"/>
        <v>1</v>
      </c>
      <c r="O50" s="79" t="s">
        <v>1766</v>
      </c>
      <c r="P50" s="79" t="s">
        <v>1766</v>
      </c>
      <c r="Q50" s="79" t="s">
        <v>1765</v>
      </c>
      <c r="R50" s="79" t="s">
        <v>2775</v>
      </c>
      <c r="S50" s="79" t="s">
        <v>2779</v>
      </c>
      <c r="T50" s="79" t="s">
        <v>1767</v>
      </c>
      <c r="U50" s="79" t="s">
        <v>1768</v>
      </c>
      <c r="V50" s="79" t="s">
        <v>707</v>
      </c>
      <c r="W50" s="79" t="s">
        <v>1769</v>
      </c>
      <c r="Y50" s="79" t="s">
        <v>1765</v>
      </c>
    </row>
    <row r="51" spans="2:25" ht="12.75" customHeight="1" x14ac:dyDescent="0.2">
      <c r="B51" s="106" t="s">
        <v>1167</v>
      </c>
      <c r="C51" s="106" t="s">
        <v>1167</v>
      </c>
      <c r="D51" s="106" t="s">
        <v>1166</v>
      </c>
      <c r="E51" s="107" t="str">
        <f t="shared" si="0"/>
        <v>PERRYSBURG, OH, 43551</v>
      </c>
      <c r="F51" s="106" t="s">
        <v>1166</v>
      </c>
      <c r="G51" s="106" t="s">
        <v>1168</v>
      </c>
      <c r="H51" s="106" t="s">
        <v>2772</v>
      </c>
      <c r="I51" s="106" t="s">
        <v>2788</v>
      </c>
      <c r="J51" s="106" t="s">
        <v>940</v>
      </c>
      <c r="K51" s="106" t="s">
        <v>707</v>
      </c>
      <c r="L51" s="106" t="s">
        <v>941</v>
      </c>
      <c r="N51" s="91">
        <f t="shared" si="2"/>
        <v>1</v>
      </c>
      <c r="O51" s="79" t="s">
        <v>1167</v>
      </c>
      <c r="P51" s="79" t="s">
        <v>1167</v>
      </c>
      <c r="Q51" s="79" t="s">
        <v>1166</v>
      </c>
      <c r="R51" s="79" t="s">
        <v>2772</v>
      </c>
      <c r="S51" s="79" t="s">
        <v>2788</v>
      </c>
      <c r="T51" s="79" t="s">
        <v>1168</v>
      </c>
      <c r="U51" s="79" t="s">
        <v>940</v>
      </c>
      <c r="V51" s="79" t="s">
        <v>707</v>
      </c>
      <c r="W51" s="79" t="s">
        <v>941</v>
      </c>
      <c r="Y51" s="79" t="s">
        <v>1166</v>
      </c>
    </row>
    <row r="52" spans="2:25" ht="12.75" customHeight="1" x14ac:dyDescent="0.2">
      <c r="B52" s="106" t="s">
        <v>3156</v>
      </c>
      <c r="C52" s="106" t="s">
        <v>3156</v>
      </c>
      <c r="D52" s="106" t="s">
        <v>3157</v>
      </c>
      <c r="E52" s="107" t="str">
        <f t="shared" si="0"/>
        <v>ASHTABULA, OH, 44004</v>
      </c>
      <c r="F52" s="106" t="s">
        <v>3157</v>
      </c>
      <c r="G52" s="106" t="s">
        <v>3155</v>
      </c>
      <c r="H52" s="106" t="s">
        <v>2762</v>
      </c>
      <c r="I52" s="106" t="s">
        <v>2790</v>
      </c>
      <c r="J52" s="106" t="s">
        <v>979</v>
      </c>
      <c r="K52" s="106" t="s">
        <v>707</v>
      </c>
      <c r="L52" s="106" t="s">
        <v>980</v>
      </c>
      <c r="N52" s="91">
        <f t="shared" si="2"/>
        <v>1</v>
      </c>
      <c r="O52" s="79" t="s">
        <v>2716</v>
      </c>
      <c r="P52" s="79" t="s">
        <v>2716</v>
      </c>
      <c r="Q52" s="79" t="s">
        <v>2715</v>
      </c>
      <c r="R52" s="79" t="s">
        <v>2782</v>
      </c>
      <c r="S52" s="79" t="s">
        <v>2764</v>
      </c>
      <c r="T52" s="79" t="s">
        <v>1908</v>
      </c>
      <c r="U52" s="79" t="s">
        <v>1909</v>
      </c>
      <c r="V52" s="79" t="s">
        <v>1489</v>
      </c>
      <c r="W52" s="79" t="s">
        <v>1910</v>
      </c>
      <c r="Y52" s="79" t="s">
        <v>2715</v>
      </c>
    </row>
    <row r="53" spans="2:25" ht="12.75" customHeight="1" x14ac:dyDescent="0.2">
      <c r="B53" s="143" t="s">
        <v>2716</v>
      </c>
      <c r="C53" s="143" t="s">
        <v>2716</v>
      </c>
      <c r="D53" s="143" t="s">
        <v>2715</v>
      </c>
      <c r="E53" s="107" t="str">
        <f t="shared" si="0"/>
        <v>RAVENSWOOD, WV, 26164</v>
      </c>
      <c r="F53" s="143" t="s">
        <v>2715</v>
      </c>
      <c r="G53" s="143" t="s">
        <v>1908</v>
      </c>
      <c r="H53" s="143" t="s">
        <v>2782</v>
      </c>
      <c r="I53" s="143" t="s">
        <v>2764</v>
      </c>
      <c r="J53" s="143" t="s">
        <v>1909</v>
      </c>
      <c r="K53" s="143" t="s">
        <v>1489</v>
      </c>
      <c r="L53" s="143" t="s">
        <v>1910</v>
      </c>
      <c r="N53" s="91">
        <f t="shared" si="2"/>
        <v>1</v>
      </c>
      <c r="O53" s="79" t="s">
        <v>1945</v>
      </c>
      <c r="P53" s="79" t="s">
        <v>1945</v>
      </c>
      <c r="Q53" s="79" t="s">
        <v>1944</v>
      </c>
      <c r="R53" s="79" t="s">
        <v>2782</v>
      </c>
      <c r="S53" s="79" t="s">
        <v>2764</v>
      </c>
      <c r="T53" s="79" t="s">
        <v>1913</v>
      </c>
      <c r="U53" s="79" t="s">
        <v>1914</v>
      </c>
      <c r="V53" s="79" t="s">
        <v>1489</v>
      </c>
      <c r="W53" s="79" t="s">
        <v>1915</v>
      </c>
      <c r="Y53" s="79" t="s">
        <v>1944</v>
      </c>
    </row>
    <row r="54" spans="2:25" ht="12.75" customHeight="1" x14ac:dyDescent="0.2">
      <c r="B54" s="106" t="s">
        <v>1945</v>
      </c>
      <c r="C54" s="106" t="s">
        <v>1945</v>
      </c>
      <c r="D54" s="106" t="s">
        <v>1944</v>
      </c>
      <c r="E54" s="107" t="str">
        <f t="shared" si="0"/>
        <v>NEW MARTINSVILLE, WV, 26155</v>
      </c>
      <c r="F54" s="106" t="s">
        <v>1944</v>
      </c>
      <c r="G54" s="106" t="s">
        <v>1913</v>
      </c>
      <c r="H54" s="106" t="s">
        <v>2782</v>
      </c>
      <c r="I54" s="106" t="s">
        <v>2764</v>
      </c>
      <c r="J54" s="106" t="s">
        <v>1914</v>
      </c>
      <c r="K54" s="106" t="s">
        <v>1489</v>
      </c>
      <c r="L54" s="106" t="s">
        <v>1915</v>
      </c>
      <c r="N54" s="91">
        <f t="shared" si="2"/>
        <v>1</v>
      </c>
      <c r="O54" s="79" t="s">
        <v>1941</v>
      </c>
      <c r="P54" s="79" t="s">
        <v>1941</v>
      </c>
      <c r="Q54" s="79" t="s">
        <v>1940</v>
      </c>
      <c r="R54" s="79" t="s">
        <v>2770</v>
      </c>
      <c r="S54" s="79" t="s">
        <v>2789</v>
      </c>
      <c r="T54" s="79" t="s">
        <v>1905</v>
      </c>
      <c r="U54" s="79" t="s">
        <v>1144</v>
      </c>
      <c r="V54" s="79" t="s">
        <v>707</v>
      </c>
      <c r="W54" s="79" t="s">
        <v>1145</v>
      </c>
      <c r="Y54" s="79" t="s">
        <v>1940</v>
      </c>
    </row>
    <row r="55" spans="2:25" ht="12.75" customHeight="1" x14ac:dyDescent="0.2">
      <c r="B55" s="106" t="s">
        <v>1941</v>
      </c>
      <c r="C55" s="106" t="s">
        <v>1941</v>
      </c>
      <c r="D55" s="106" t="s">
        <v>1940</v>
      </c>
      <c r="E55" s="107" t="str">
        <f t="shared" si="0"/>
        <v>CINCINNATI, OH, 45226</v>
      </c>
      <c r="F55" s="106" t="s">
        <v>1940</v>
      </c>
      <c r="G55" s="106" t="s">
        <v>1905</v>
      </c>
      <c r="H55" s="106" t="s">
        <v>2770</v>
      </c>
      <c r="I55" s="106" t="s">
        <v>2789</v>
      </c>
      <c r="J55" s="106" t="s">
        <v>1144</v>
      </c>
      <c r="K55" s="106" t="s">
        <v>707</v>
      </c>
      <c r="L55" s="106" t="s">
        <v>1145</v>
      </c>
      <c r="N55" s="91">
        <f t="shared" si="2"/>
        <v>1</v>
      </c>
      <c r="O55" s="79" t="s">
        <v>1939</v>
      </c>
      <c r="P55" s="79" t="s">
        <v>1939</v>
      </c>
      <c r="Q55" s="79" t="s">
        <v>1938</v>
      </c>
      <c r="R55" s="79" t="s">
        <v>2782</v>
      </c>
      <c r="S55" s="79" t="s">
        <v>2764</v>
      </c>
      <c r="T55" s="79" t="s">
        <v>1900</v>
      </c>
      <c r="U55" s="79" t="s">
        <v>1901</v>
      </c>
      <c r="V55" s="79" t="s">
        <v>1489</v>
      </c>
      <c r="W55" s="79" t="s">
        <v>1902</v>
      </c>
      <c r="Y55" s="79" t="s">
        <v>1938</v>
      </c>
    </row>
    <row r="56" spans="2:25" ht="12.75" customHeight="1" x14ac:dyDescent="0.2">
      <c r="B56" s="106" t="s">
        <v>1939</v>
      </c>
      <c r="C56" s="106" t="s">
        <v>1939</v>
      </c>
      <c r="D56" s="106" t="s">
        <v>1938</v>
      </c>
      <c r="E56" s="107" t="str">
        <f t="shared" si="0"/>
        <v>PARKERSBURG, WV, 26101</v>
      </c>
      <c r="F56" s="106" t="s">
        <v>1938</v>
      </c>
      <c r="G56" s="106" t="s">
        <v>1900</v>
      </c>
      <c r="H56" s="106" t="s">
        <v>2782</v>
      </c>
      <c r="I56" s="106" t="s">
        <v>2764</v>
      </c>
      <c r="J56" s="106" t="s">
        <v>1901</v>
      </c>
      <c r="K56" s="106" t="s">
        <v>1489</v>
      </c>
      <c r="L56" s="106" t="s">
        <v>1902</v>
      </c>
      <c r="N56" s="91">
        <f t="shared" si="2"/>
        <v>1</v>
      </c>
      <c r="O56" s="79" t="s">
        <v>2535</v>
      </c>
      <c r="P56" s="79" t="s">
        <v>2535</v>
      </c>
      <c r="Q56" s="79" t="s">
        <v>2534</v>
      </c>
      <c r="R56" s="79" t="s">
        <v>2759</v>
      </c>
      <c r="S56" s="79" t="s">
        <v>2760</v>
      </c>
      <c r="T56" s="79" t="s">
        <v>958</v>
      </c>
      <c r="U56" s="79" t="s">
        <v>843</v>
      </c>
      <c r="V56" s="79" t="s">
        <v>707</v>
      </c>
      <c r="W56" s="79" t="s">
        <v>955</v>
      </c>
      <c r="Y56" s="79" t="s">
        <v>2534</v>
      </c>
    </row>
    <row r="57" spans="2:25" ht="12.75" customHeight="1" x14ac:dyDescent="0.2">
      <c r="B57" s="106" t="s">
        <v>2535</v>
      </c>
      <c r="C57" s="106" t="s">
        <v>2535</v>
      </c>
      <c r="D57" s="106" t="s">
        <v>2534</v>
      </c>
      <c r="E57" s="107" t="str">
        <f t="shared" si="0"/>
        <v>CLEVELAND, OH, 44113</v>
      </c>
      <c r="F57" s="106" t="s">
        <v>2534</v>
      </c>
      <c r="G57" s="106" t="s">
        <v>958</v>
      </c>
      <c r="H57" s="106" t="s">
        <v>2759</v>
      </c>
      <c r="I57" s="106" t="s">
        <v>2760</v>
      </c>
      <c r="J57" s="106" t="s">
        <v>843</v>
      </c>
      <c r="K57" s="106" t="s">
        <v>707</v>
      </c>
      <c r="L57" s="106" t="s">
        <v>955</v>
      </c>
      <c r="N57" s="91">
        <f t="shared" si="2"/>
        <v>1</v>
      </c>
      <c r="O57" s="79" t="s">
        <v>2537</v>
      </c>
      <c r="P57" s="79" t="s">
        <v>2537</v>
      </c>
      <c r="Q57" s="79" t="s">
        <v>2536</v>
      </c>
      <c r="R57" s="79" t="s">
        <v>2762</v>
      </c>
      <c r="S57" s="79" t="s">
        <v>2790</v>
      </c>
      <c r="T57" s="79" t="s">
        <v>2472</v>
      </c>
      <c r="U57" s="79" t="s">
        <v>2473</v>
      </c>
      <c r="V57" s="79" t="s">
        <v>707</v>
      </c>
      <c r="W57" s="79" t="s">
        <v>2474</v>
      </c>
      <c r="Y57" s="79" t="s">
        <v>2536</v>
      </c>
    </row>
    <row r="58" spans="2:25" ht="12.75" customHeight="1" x14ac:dyDescent="0.2">
      <c r="B58" s="106" t="s">
        <v>2537</v>
      </c>
      <c r="C58" s="106" t="s">
        <v>2537</v>
      </c>
      <c r="D58" s="106" t="s">
        <v>2536</v>
      </c>
      <c r="E58" s="107" t="str">
        <f t="shared" si="0"/>
        <v>CONNEAUT, OH, 44030</v>
      </c>
      <c r="F58" s="106" t="s">
        <v>2536</v>
      </c>
      <c r="G58" s="106" t="s">
        <v>2472</v>
      </c>
      <c r="H58" s="106" t="s">
        <v>2762</v>
      </c>
      <c r="I58" s="106" t="s">
        <v>2790</v>
      </c>
      <c r="J58" s="106" t="s">
        <v>2473</v>
      </c>
      <c r="K58" s="106" t="s">
        <v>707</v>
      </c>
      <c r="L58" s="106" t="s">
        <v>2474</v>
      </c>
      <c r="N58" s="91">
        <f t="shared" si="2"/>
        <v>1</v>
      </c>
      <c r="O58" s="79" t="s">
        <v>2531</v>
      </c>
      <c r="P58" s="79" t="s">
        <v>2531</v>
      </c>
      <c r="Q58" s="79" t="s">
        <v>2530</v>
      </c>
      <c r="R58" s="79" t="s">
        <v>2762</v>
      </c>
      <c r="S58" s="79" t="s">
        <v>813</v>
      </c>
      <c r="T58" s="79" t="s">
        <v>2532</v>
      </c>
      <c r="U58" s="79" t="s">
        <v>897</v>
      </c>
      <c r="V58" s="79" t="s">
        <v>898</v>
      </c>
      <c r="W58" s="79" t="s">
        <v>2533</v>
      </c>
      <c r="Y58" s="79" t="s">
        <v>2530</v>
      </c>
    </row>
    <row r="59" spans="2:25" ht="12.75" customHeight="1" x14ac:dyDescent="0.2">
      <c r="B59" s="106" t="s">
        <v>2531</v>
      </c>
      <c r="C59" s="106" t="s">
        <v>2531</v>
      </c>
      <c r="D59" s="106" t="s">
        <v>2530</v>
      </c>
      <c r="E59" s="107" t="str">
        <f t="shared" si="0"/>
        <v>ERIE, PA, 16512</v>
      </c>
      <c r="F59" s="106" t="s">
        <v>2530</v>
      </c>
      <c r="G59" s="106" t="s">
        <v>2532</v>
      </c>
      <c r="H59" s="106" t="s">
        <v>2762</v>
      </c>
      <c r="I59" s="106" t="s">
        <v>813</v>
      </c>
      <c r="J59" s="106" t="s">
        <v>897</v>
      </c>
      <c r="K59" s="106" t="s">
        <v>898</v>
      </c>
      <c r="L59" s="106" t="s">
        <v>2533</v>
      </c>
      <c r="N59" s="91">
        <f t="shared" si="2"/>
        <v>1</v>
      </c>
      <c r="O59" s="79" t="s">
        <v>2525</v>
      </c>
      <c r="P59" s="79" t="s">
        <v>2525</v>
      </c>
      <c r="Q59" s="79" t="s">
        <v>2524</v>
      </c>
      <c r="R59" s="79" t="s">
        <v>2759</v>
      </c>
      <c r="S59" s="79" t="s">
        <v>2760</v>
      </c>
      <c r="T59" s="79" t="s">
        <v>958</v>
      </c>
      <c r="U59" s="79" t="s">
        <v>843</v>
      </c>
      <c r="V59" s="79" t="s">
        <v>707</v>
      </c>
      <c r="W59" s="79" t="s">
        <v>955</v>
      </c>
      <c r="Y59" s="79" t="s">
        <v>2524</v>
      </c>
    </row>
    <row r="60" spans="2:25" ht="12.75" customHeight="1" x14ac:dyDescent="0.2">
      <c r="B60" s="106" t="s">
        <v>2525</v>
      </c>
      <c r="C60" s="106" t="s">
        <v>2525</v>
      </c>
      <c r="D60" s="106" t="s">
        <v>2524</v>
      </c>
      <c r="E60" s="107" t="str">
        <f t="shared" si="0"/>
        <v>CLEVELAND, OH, 44113</v>
      </c>
      <c r="F60" s="106" t="s">
        <v>2524</v>
      </c>
      <c r="G60" s="106" t="s">
        <v>958</v>
      </c>
      <c r="H60" s="106" t="s">
        <v>2759</v>
      </c>
      <c r="I60" s="106" t="s">
        <v>2760</v>
      </c>
      <c r="J60" s="106" t="s">
        <v>843</v>
      </c>
      <c r="K60" s="106" t="s">
        <v>707</v>
      </c>
      <c r="L60" s="106" t="s">
        <v>955</v>
      </c>
      <c r="N60" s="91">
        <f t="shared" si="2"/>
        <v>1</v>
      </c>
      <c r="O60" s="79" t="s">
        <v>2527</v>
      </c>
      <c r="P60" s="79" t="s">
        <v>2527</v>
      </c>
      <c r="Q60" s="79" t="s">
        <v>2526</v>
      </c>
      <c r="R60" s="79" t="s">
        <v>2759</v>
      </c>
      <c r="S60" s="79" t="s">
        <v>2760</v>
      </c>
      <c r="T60" s="79" t="s">
        <v>964</v>
      </c>
      <c r="U60" s="79" t="s">
        <v>965</v>
      </c>
      <c r="V60" s="79" t="s">
        <v>707</v>
      </c>
      <c r="W60" s="79" t="s">
        <v>966</v>
      </c>
      <c r="Y60" s="79" t="s">
        <v>2526</v>
      </c>
    </row>
    <row r="61" spans="2:25" ht="12.75" customHeight="1" x14ac:dyDescent="0.2">
      <c r="B61" s="106" t="s">
        <v>2527</v>
      </c>
      <c r="C61" s="106" t="s">
        <v>2527</v>
      </c>
      <c r="D61" s="106" t="s">
        <v>2526</v>
      </c>
      <c r="E61" s="107" t="str">
        <f t="shared" si="0"/>
        <v>GRAND RIVER, OH, 44045</v>
      </c>
      <c r="F61" s="106" t="s">
        <v>2526</v>
      </c>
      <c r="G61" s="106" t="s">
        <v>964</v>
      </c>
      <c r="H61" s="106" t="s">
        <v>2759</v>
      </c>
      <c r="I61" s="106" t="s">
        <v>2760</v>
      </c>
      <c r="J61" s="106" t="s">
        <v>965</v>
      </c>
      <c r="K61" s="106" t="s">
        <v>707</v>
      </c>
      <c r="L61" s="106" t="s">
        <v>966</v>
      </c>
      <c r="N61" s="91">
        <f t="shared" si="2"/>
        <v>1</v>
      </c>
      <c r="O61" s="79" t="s">
        <v>2529</v>
      </c>
      <c r="P61" s="79" t="s">
        <v>2529</v>
      </c>
      <c r="Q61" s="79" t="s">
        <v>2528</v>
      </c>
      <c r="R61" s="79" t="s">
        <v>2762</v>
      </c>
      <c r="S61" s="79" t="s">
        <v>2790</v>
      </c>
      <c r="T61" s="79" t="s">
        <v>2472</v>
      </c>
      <c r="U61" s="79" t="s">
        <v>2473</v>
      </c>
      <c r="V61" s="79" t="s">
        <v>707</v>
      </c>
      <c r="W61" s="79" t="s">
        <v>2474</v>
      </c>
      <c r="Y61" s="79" t="s">
        <v>2528</v>
      </c>
    </row>
    <row r="62" spans="2:25" ht="12.75" customHeight="1" x14ac:dyDescent="0.2">
      <c r="B62" s="106" t="s">
        <v>2529</v>
      </c>
      <c r="C62" s="106" t="s">
        <v>2529</v>
      </c>
      <c r="D62" s="106" t="s">
        <v>2528</v>
      </c>
      <c r="E62" s="107" t="str">
        <f t="shared" si="0"/>
        <v>CONNEAUT, OH, 44030</v>
      </c>
      <c r="F62" s="106" t="s">
        <v>2528</v>
      </c>
      <c r="G62" s="106" t="s">
        <v>2472</v>
      </c>
      <c r="H62" s="106" t="s">
        <v>2762</v>
      </c>
      <c r="I62" s="106" t="s">
        <v>2790</v>
      </c>
      <c r="J62" s="106" t="s">
        <v>2473</v>
      </c>
      <c r="K62" s="106" t="s">
        <v>707</v>
      </c>
      <c r="L62" s="106" t="s">
        <v>2474</v>
      </c>
      <c r="N62" s="91">
        <f t="shared" si="2"/>
        <v>1</v>
      </c>
      <c r="O62" s="79" t="s">
        <v>2523</v>
      </c>
      <c r="P62" s="79" t="s">
        <v>2523</v>
      </c>
      <c r="Q62" s="79" t="s">
        <v>2522</v>
      </c>
      <c r="R62" s="79" t="s">
        <v>2759</v>
      </c>
      <c r="S62" s="79" t="s">
        <v>2760</v>
      </c>
      <c r="T62" s="79" t="s">
        <v>954</v>
      </c>
      <c r="U62" s="79" t="s">
        <v>843</v>
      </c>
      <c r="V62" s="79" t="s">
        <v>707</v>
      </c>
      <c r="W62" s="79" t="s">
        <v>955</v>
      </c>
      <c r="Y62" s="79" t="s">
        <v>2522</v>
      </c>
    </row>
    <row r="63" spans="2:25" ht="12.75" customHeight="1" x14ac:dyDescent="0.2">
      <c r="B63" s="106" t="s">
        <v>2523</v>
      </c>
      <c r="C63" s="106" t="s">
        <v>2523</v>
      </c>
      <c r="D63" s="106" t="s">
        <v>2522</v>
      </c>
      <c r="E63" s="107" t="str">
        <f t="shared" si="0"/>
        <v>CLEVELAND, OH, 44113</v>
      </c>
      <c r="F63" s="106" t="s">
        <v>2522</v>
      </c>
      <c r="G63" s="106" t="s">
        <v>954</v>
      </c>
      <c r="H63" s="106" t="s">
        <v>2759</v>
      </c>
      <c r="I63" s="106" t="s">
        <v>2760</v>
      </c>
      <c r="J63" s="106" t="s">
        <v>843</v>
      </c>
      <c r="K63" s="106" t="s">
        <v>707</v>
      </c>
      <c r="L63" s="106" t="s">
        <v>955</v>
      </c>
      <c r="N63" s="91">
        <f t="shared" si="2"/>
        <v>1</v>
      </c>
      <c r="O63" s="79" t="s">
        <v>1917</v>
      </c>
      <c r="P63" s="79" t="s">
        <v>1917</v>
      </c>
      <c r="Q63" s="79" t="s">
        <v>1916</v>
      </c>
      <c r="R63" s="79" t="s">
        <v>2780</v>
      </c>
      <c r="S63" s="79" t="s">
        <v>2764</v>
      </c>
      <c r="T63" s="79" t="s">
        <v>1918</v>
      </c>
      <c r="U63" s="79" t="s">
        <v>1919</v>
      </c>
      <c r="V63" s="79" t="s">
        <v>1920</v>
      </c>
      <c r="W63" s="79" t="s">
        <v>1921</v>
      </c>
      <c r="Y63" s="79" t="s">
        <v>1916</v>
      </c>
    </row>
    <row r="64" spans="2:25" ht="12.75" customHeight="1" x14ac:dyDescent="0.2">
      <c r="B64" s="106" t="s">
        <v>1917</v>
      </c>
      <c r="C64" s="106" t="s">
        <v>1917</v>
      </c>
      <c r="D64" s="106" t="s">
        <v>1916</v>
      </c>
      <c r="E64" s="107" t="str">
        <f t="shared" si="0"/>
        <v>MAYSVILLE, KY, 41056</v>
      </c>
      <c r="F64" s="106" t="s">
        <v>1916</v>
      </c>
      <c r="G64" s="106" t="s">
        <v>1918</v>
      </c>
      <c r="H64" s="106" t="s">
        <v>2780</v>
      </c>
      <c r="I64" s="106" t="s">
        <v>2764</v>
      </c>
      <c r="J64" s="106" t="s">
        <v>1919</v>
      </c>
      <c r="K64" s="106" t="s">
        <v>1920</v>
      </c>
      <c r="L64" s="106" t="s">
        <v>1921</v>
      </c>
      <c r="N64" s="91">
        <f t="shared" si="2"/>
        <v>1</v>
      </c>
      <c r="O64" s="79" t="s">
        <v>1904</v>
      </c>
      <c r="P64" s="79" t="s">
        <v>1904</v>
      </c>
      <c r="Q64" s="79" t="s">
        <v>1903</v>
      </c>
      <c r="R64" s="79" t="s">
        <v>2770</v>
      </c>
      <c r="S64" s="79" t="s">
        <v>2789</v>
      </c>
      <c r="T64" s="79" t="s">
        <v>1905</v>
      </c>
      <c r="U64" s="79" t="s">
        <v>1144</v>
      </c>
      <c r="V64" s="79" t="s">
        <v>707</v>
      </c>
      <c r="W64" s="79" t="s">
        <v>1145</v>
      </c>
      <c r="Y64" s="79" t="s">
        <v>1903</v>
      </c>
    </row>
    <row r="65" spans="2:25" ht="12.75" customHeight="1" x14ac:dyDescent="0.2">
      <c r="B65" s="106" t="s">
        <v>1904</v>
      </c>
      <c r="C65" s="106" t="s">
        <v>1904</v>
      </c>
      <c r="D65" s="106" t="s">
        <v>1903</v>
      </c>
      <c r="E65" s="107" t="str">
        <f t="shared" si="0"/>
        <v>CINCINNATI, OH, 45226</v>
      </c>
      <c r="F65" s="106" t="s">
        <v>1903</v>
      </c>
      <c r="G65" s="106" t="s">
        <v>1905</v>
      </c>
      <c r="H65" s="106" t="s">
        <v>2770</v>
      </c>
      <c r="I65" s="106" t="s">
        <v>2789</v>
      </c>
      <c r="J65" s="106" t="s">
        <v>1144</v>
      </c>
      <c r="K65" s="106" t="s">
        <v>707</v>
      </c>
      <c r="L65" s="106" t="s">
        <v>1145</v>
      </c>
      <c r="N65" s="91">
        <f t="shared" si="2"/>
        <v>1</v>
      </c>
      <c r="O65" s="79" t="s">
        <v>1899</v>
      </c>
      <c r="P65" s="79" t="s">
        <v>1899</v>
      </c>
      <c r="Q65" s="79" t="s">
        <v>1898</v>
      </c>
      <c r="R65" s="79" t="s">
        <v>2782</v>
      </c>
      <c r="S65" s="79" t="s">
        <v>2764</v>
      </c>
      <c r="T65" s="79" t="s">
        <v>1900</v>
      </c>
      <c r="U65" s="79" t="s">
        <v>1901</v>
      </c>
      <c r="V65" s="79" t="s">
        <v>1489</v>
      </c>
      <c r="W65" s="79" t="s">
        <v>1902</v>
      </c>
      <c r="Y65" s="79" t="s">
        <v>1898</v>
      </c>
    </row>
    <row r="66" spans="2:25" ht="12.75" customHeight="1" x14ac:dyDescent="0.2">
      <c r="B66" s="106" t="s">
        <v>1899</v>
      </c>
      <c r="C66" s="106" t="s">
        <v>1899</v>
      </c>
      <c r="D66" s="106" t="s">
        <v>1898</v>
      </c>
      <c r="E66" s="107" t="str">
        <f t="shared" ref="E66:E129" si="3">CONCATENATE(J66,", ",K66,", ",L66)</f>
        <v>PARKERSBURG, WV, 26101</v>
      </c>
      <c r="F66" s="106" t="s">
        <v>1898</v>
      </c>
      <c r="G66" s="106" t="s">
        <v>1900</v>
      </c>
      <c r="H66" s="106" t="s">
        <v>2782</v>
      </c>
      <c r="I66" s="106" t="s">
        <v>2764</v>
      </c>
      <c r="J66" s="106" t="s">
        <v>1901</v>
      </c>
      <c r="K66" s="106" t="s">
        <v>1489</v>
      </c>
      <c r="L66" s="106" t="s">
        <v>1902</v>
      </c>
      <c r="N66" s="91">
        <f t="shared" si="2"/>
        <v>1</v>
      </c>
      <c r="O66" s="79" t="s">
        <v>1912</v>
      </c>
      <c r="P66" s="79" t="s">
        <v>1912</v>
      </c>
      <c r="Q66" s="79" t="s">
        <v>1911</v>
      </c>
      <c r="R66" s="79" t="s">
        <v>2782</v>
      </c>
      <c r="S66" s="79" t="s">
        <v>2764</v>
      </c>
      <c r="T66" s="79" t="s">
        <v>1913</v>
      </c>
      <c r="U66" s="79" t="s">
        <v>1914</v>
      </c>
      <c r="V66" s="79" t="s">
        <v>1489</v>
      </c>
      <c r="W66" s="79" t="s">
        <v>1915</v>
      </c>
      <c r="Y66" s="79" t="s">
        <v>1911</v>
      </c>
    </row>
    <row r="67" spans="2:25" ht="12.75" customHeight="1" x14ac:dyDescent="0.2">
      <c r="B67" s="106" t="s">
        <v>1912</v>
      </c>
      <c r="C67" s="106" t="s">
        <v>1912</v>
      </c>
      <c r="D67" s="106" t="s">
        <v>1911</v>
      </c>
      <c r="E67" s="107" t="str">
        <f t="shared" si="3"/>
        <v>NEW MARTINSVILLE, WV, 26155</v>
      </c>
      <c r="F67" s="106" t="s">
        <v>1911</v>
      </c>
      <c r="G67" s="106" t="s">
        <v>1913</v>
      </c>
      <c r="H67" s="106" t="s">
        <v>2782</v>
      </c>
      <c r="I67" s="106" t="s">
        <v>2764</v>
      </c>
      <c r="J67" s="106" t="s">
        <v>1914</v>
      </c>
      <c r="K67" s="106" t="s">
        <v>1489</v>
      </c>
      <c r="L67" s="106" t="s">
        <v>1915</v>
      </c>
      <c r="N67" s="91">
        <f t="shared" si="2"/>
        <v>1</v>
      </c>
      <c r="O67" s="79" t="s">
        <v>1907</v>
      </c>
      <c r="P67" s="79" t="s">
        <v>1907</v>
      </c>
      <c r="Q67" s="79" t="s">
        <v>1906</v>
      </c>
      <c r="R67" s="79" t="s">
        <v>2782</v>
      </c>
      <c r="S67" s="79" t="s">
        <v>2764</v>
      </c>
      <c r="T67" s="79" t="s">
        <v>1908</v>
      </c>
      <c r="U67" s="79" t="s">
        <v>1909</v>
      </c>
      <c r="V67" s="79" t="s">
        <v>1489</v>
      </c>
      <c r="W67" s="79" t="s">
        <v>1910</v>
      </c>
      <c r="Y67" s="79" t="s">
        <v>1906</v>
      </c>
    </row>
    <row r="68" spans="2:25" ht="12.75" customHeight="1" x14ac:dyDescent="0.2">
      <c r="B68" s="106" t="s">
        <v>1907</v>
      </c>
      <c r="C68" s="106" t="s">
        <v>1907</v>
      </c>
      <c r="D68" s="106" t="s">
        <v>1906</v>
      </c>
      <c r="E68" s="107" t="str">
        <f t="shared" si="3"/>
        <v>RAVENSWOOD, WV, 26164</v>
      </c>
      <c r="F68" s="106" t="s">
        <v>1906</v>
      </c>
      <c r="G68" s="106" t="s">
        <v>1908</v>
      </c>
      <c r="H68" s="106" t="s">
        <v>2782</v>
      </c>
      <c r="I68" s="106" t="s">
        <v>2764</v>
      </c>
      <c r="J68" s="106" t="s">
        <v>1909</v>
      </c>
      <c r="K68" s="106" t="s">
        <v>1489</v>
      </c>
      <c r="L68" s="106" t="s">
        <v>1910</v>
      </c>
      <c r="N68" s="91">
        <f t="shared" si="2"/>
        <v>1</v>
      </c>
      <c r="O68" s="79" t="s">
        <v>1897</v>
      </c>
      <c r="P68" s="79" t="s">
        <v>1897</v>
      </c>
      <c r="Q68" s="79" t="s">
        <v>1896</v>
      </c>
      <c r="R68" s="79" t="s">
        <v>2791</v>
      </c>
      <c r="S68" s="79" t="s">
        <v>1489</v>
      </c>
      <c r="T68" s="79" t="s">
        <v>1487</v>
      </c>
      <c r="U68" s="79" t="s">
        <v>1488</v>
      </c>
      <c r="V68" s="79" t="s">
        <v>1489</v>
      </c>
      <c r="W68" s="79" t="s">
        <v>1490</v>
      </c>
      <c r="Y68" s="79" t="s">
        <v>1896</v>
      </c>
    </row>
    <row r="69" spans="2:25" ht="12.75" customHeight="1" x14ac:dyDescent="0.2">
      <c r="B69" s="106" t="s">
        <v>3097</v>
      </c>
      <c r="C69" s="106" t="s">
        <v>3097</v>
      </c>
      <c r="D69" s="106" t="s">
        <v>3098</v>
      </c>
      <c r="E69" s="107" t="str">
        <f t="shared" si="3"/>
        <v>BENWOOD, WV, 26031</v>
      </c>
      <c r="F69" s="106" t="s">
        <v>3098</v>
      </c>
      <c r="G69" s="106" t="s">
        <v>1987</v>
      </c>
      <c r="H69" s="106" t="s">
        <v>2780</v>
      </c>
      <c r="I69" s="106" t="s">
        <v>2764</v>
      </c>
      <c r="J69" s="106" t="s">
        <v>1988</v>
      </c>
      <c r="K69" s="106" t="s">
        <v>1489</v>
      </c>
      <c r="L69" s="106" t="s">
        <v>1989</v>
      </c>
      <c r="N69" s="91">
        <f t="shared" si="2"/>
        <v>1</v>
      </c>
      <c r="O69" s="79" t="s">
        <v>1923</v>
      </c>
      <c r="P69" s="79" t="s">
        <v>1923</v>
      </c>
      <c r="Q69" s="79" t="s">
        <v>1922</v>
      </c>
      <c r="R69" s="79" t="s">
        <v>2791</v>
      </c>
      <c r="S69" s="79" t="s">
        <v>2792</v>
      </c>
      <c r="T69" s="79" t="s">
        <v>909</v>
      </c>
      <c r="U69" s="79" t="s">
        <v>910</v>
      </c>
      <c r="V69" s="79" t="s">
        <v>707</v>
      </c>
      <c r="W69" s="79" t="s">
        <v>911</v>
      </c>
      <c r="Y69" s="79" t="s">
        <v>1922</v>
      </c>
    </row>
    <row r="70" spans="2:25" ht="12.75" customHeight="1" x14ac:dyDescent="0.2">
      <c r="B70" s="106" t="s">
        <v>1897</v>
      </c>
      <c r="C70" s="106" t="s">
        <v>1897</v>
      </c>
      <c r="D70" s="106" t="s">
        <v>1896</v>
      </c>
      <c r="E70" s="107" t="str">
        <f t="shared" si="3"/>
        <v>WEIRTON, WV, 26062</v>
      </c>
      <c r="F70" s="106" t="s">
        <v>1896</v>
      </c>
      <c r="G70" s="106" t="s">
        <v>1487</v>
      </c>
      <c r="H70" s="106" t="s">
        <v>2791</v>
      </c>
      <c r="I70" s="106" t="s">
        <v>1489</v>
      </c>
      <c r="J70" s="106" t="s">
        <v>1488</v>
      </c>
      <c r="K70" s="106" t="s">
        <v>1489</v>
      </c>
      <c r="L70" s="106" t="s">
        <v>1490</v>
      </c>
      <c r="N70" s="91">
        <f t="shared" si="2"/>
        <v>1</v>
      </c>
      <c r="O70" s="79" t="s">
        <v>1925</v>
      </c>
      <c r="P70" s="79" t="s">
        <v>1925</v>
      </c>
      <c r="Q70" s="79" t="s">
        <v>1924</v>
      </c>
      <c r="R70" s="79" t="s">
        <v>2782</v>
      </c>
      <c r="S70" s="79" t="s">
        <v>2784</v>
      </c>
      <c r="T70" s="79" t="s">
        <v>1926</v>
      </c>
      <c r="U70" s="79" t="s">
        <v>1927</v>
      </c>
      <c r="V70" s="79" t="s">
        <v>707</v>
      </c>
      <c r="W70" s="79" t="s">
        <v>1928</v>
      </c>
      <c r="Y70" s="79" t="s">
        <v>1924</v>
      </c>
    </row>
    <row r="71" spans="2:25" ht="12.75" customHeight="1" x14ac:dyDescent="0.2">
      <c r="B71" s="106" t="s">
        <v>1923</v>
      </c>
      <c r="C71" s="106" t="s">
        <v>1923</v>
      </c>
      <c r="D71" s="106" t="s">
        <v>1922</v>
      </c>
      <c r="E71" s="107" t="str">
        <f t="shared" si="3"/>
        <v>SARDIS, OH, 43946</v>
      </c>
      <c r="F71" s="106" t="s">
        <v>1922</v>
      </c>
      <c r="G71" s="106" t="s">
        <v>909</v>
      </c>
      <c r="H71" s="106" t="s">
        <v>2791</v>
      </c>
      <c r="I71" s="106" t="s">
        <v>2792</v>
      </c>
      <c r="J71" s="106" t="s">
        <v>910</v>
      </c>
      <c r="K71" s="106" t="s">
        <v>707</v>
      </c>
      <c r="L71" s="106" t="s">
        <v>911</v>
      </c>
      <c r="N71" s="91">
        <f t="shared" si="2"/>
        <v>1</v>
      </c>
      <c r="O71" s="79" t="s">
        <v>2465</v>
      </c>
      <c r="P71" s="79" t="s">
        <v>2465</v>
      </c>
      <c r="Q71" s="79" t="s">
        <v>2464</v>
      </c>
      <c r="R71" s="79" t="s">
        <v>2759</v>
      </c>
      <c r="S71" s="79" t="s">
        <v>2760</v>
      </c>
      <c r="T71" s="79" t="s">
        <v>958</v>
      </c>
      <c r="U71" s="79" t="s">
        <v>843</v>
      </c>
      <c r="V71" s="79" t="s">
        <v>707</v>
      </c>
      <c r="W71" s="79" t="s">
        <v>955</v>
      </c>
      <c r="Y71" s="79" t="s">
        <v>2464</v>
      </c>
    </row>
    <row r="72" spans="2:25" ht="12.75" customHeight="1" x14ac:dyDescent="0.2">
      <c r="B72" s="106" t="s">
        <v>3099</v>
      </c>
      <c r="C72" s="106" t="s">
        <v>3099</v>
      </c>
      <c r="D72" s="106" t="s">
        <v>3100</v>
      </c>
      <c r="E72" s="107" t="str">
        <f t="shared" si="3"/>
        <v>CLARINGTON, OH, 43915</v>
      </c>
      <c r="F72" s="106" t="s">
        <v>3100</v>
      </c>
      <c r="G72" s="106" t="s">
        <v>3101</v>
      </c>
      <c r="H72" s="106" t="s">
        <v>2782</v>
      </c>
      <c r="I72" s="106" t="s">
        <v>2792</v>
      </c>
      <c r="J72" s="106" t="s">
        <v>2257</v>
      </c>
      <c r="K72" s="106" t="s">
        <v>707</v>
      </c>
      <c r="L72" s="106" t="s">
        <v>2258</v>
      </c>
      <c r="N72" s="91">
        <f t="shared" si="2"/>
        <v>1</v>
      </c>
      <c r="O72" s="79" t="s">
        <v>2469</v>
      </c>
      <c r="P72" s="79" t="s">
        <v>2469</v>
      </c>
      <c r="Q72" s="79" t="s">
        <v>2468</v>
      </c>
      <c r="R72" s="79" t="s">
        <v>2759</v>
      </c>
      <c r="S72" s="79" t="s">
        <v>2760</v>
      </c>
      <c r="T72" s="79" t="s">
        <v>969</v>
      </c>
      <c r="U72" s="79" t="s">
        <v>843</v>
      </c>
      <c r="V72" s="79" t="s">
        <v>707</v>
      </c>
      <c r="W72" s="79" t="s">
        <v>970</v>
      </c>
      <c r="Y72" s="79" t="s">
        <v>2468</v>
      </c>
    </row>
    <row r="73" spans="2:25" ht="12.75" customHeight="1" x14ac:dyDescent="0.2">
      <c r="B73" s="106" t="s">
        <v>3102</v>
      </c>
      <c r="C73" s="106" t="s">
        <v>3102</v>
      </c>
      <c r="D73" s="106" t="s">
        <v>3103</v>
      </c>
      <c r="E73" s="107" t="str">
        <f t="shared" si="3"/>
        <v>MORRISTOWN, OH, 43759</v>
      </c>
      <c r="F73" s="106" t="s">
        <v>3103</v>
      </c>
      <c r="G73" s="106" t="s">
        <v>3104</v>
      </c>
      <c r="H73" s="106" t="s">
        <v>2780</v>
      </c>
      <c r="I73" s="106" t="s">
        <v>2809</v>
      </c>
      <c r="J73" s="106" t="s">
        <v>3105</v>
      </c>
      <c r="K73" s="106" t="s">
        <v>707</v>
      </c>
      <c r="L73" s="106" t="s">
        <v>3106</v>
      </c>
      <c r="N73" s="91">
        <f t="shared" si="2"/>
        <v>1</v>
      </c>
      <c r="O73" s="79" t="s">
        <v>2467</v>
      </c>
      <c r="P73" s="79" t="s">
        <v>2467</v>
      </c>
      <c r="Q73" s="79" t="s">
        <v>2466</v>
      </c>
      <c r="R73" s="79" t="s">
        <v>2759</v>
      </c>
      <c r="S73" s="79" t="s">
        <v>2761</v>
      </c>
      <c r="T73" s="79" t="s">
        <v>964</v>
      </c>
      <c r="U73" s="79" t="s">
        <v>965</v>
      </c>
      <c r="V73" s="79" t="s">
        <v>707</v>
      </c>
      <c r="W73" s="79" t="s">
        <v>966</v>
      </c>
      <c r="Y73" s="79" t="s">
        <v>2466</v>
      </c>
    </row>
    <row r="74" spans="2:25" ht="12.75" customHeight="1" x14ac:dyDescent="0.2">
      <c r="B74" s="106" t="s">
        <v>1925</v>
      </c>
      <c r="C74" s="106" t="s">
        <v>1925</v>
      </c>
      <c r="D74" s="106" t="s">
        <v>1924</v>
      </c>
      <c r="E74" s="107" t="str">
        <f t="shared" si="3"/>
        <v>NEW MATAMORAS, OH, 45767</v>
      </c>
      <c r="F74" s="106" t="s">
        <v>1924</v>
      </c>
      <c r="G74" s="106" t="s">
        <v>1926</v>
      </c>
      <c r="H74" s="106" t="s">
        <v>2782</v>
      </c>
      <c r="I74" s="106" t="s">
        <v>2784</v>
      </c>
      <c r="J74" s="106" t="s">
        <v>1927</v>
      </c>
      <c r="K74" s="106" t="s">
        <v>707</v>
      </c>
      <c r="L74" s="106" t="s">
        <v>1928</v>
      </c>
      <c r="N74" s="91">
        <f t="shared" si="2"/>
        <v>1</v>
      </c>
      <c r="O74" s="79" t="s">
        <v>2471</v>
      </c>
      <c r="P74" s="79" t="s">
        <v>2471</v>
      </c>
      <c r="Q74" s="79" t="s">
        <v>2470</v>
      </c>
      <c r="R74" s="79" t="s">
        <v>2762</v>
      </c>
      <c r="S74" s="79" t="s">
        <v>2790</v>
      </c>
      <c r="T74" s="79" t="s">
        <v>2472</v>
      </c>
      <c r="U74" s="79" t="s">
        <v>2473</v>
      </c>
      <c r="V74" s="79" t="s">
        <v>707</v>
      </c>
      <c r="W74" s="79" t="s">
        <v>2474</v>
      </c>
      <c r="Y74" s="79" t="s">
        <v>2470</v>
      </c>
    </row>
    <row r="75" spans="2:25" ht="12.75" customHeight="1" x14ac:dyDescent="0.2">
      <c r="B75" s="106" t="s">
        <v>2465</v>
      </c>
      <c r="C75" s="106" t="s">
        <v>2465</v>
      </c>
      <c r="D75" s="106" t="s">
        <v>2464</v>
      </c>
      <c r="E75" s="107" t="str">
        <f t="shared" si="3"/>
        <v>CLEVELAND, OH, 44113</v>
      </c>
      <c r="F75" s="106" t="s">
        <v>2464</v>
      </c>
      <c r="G75" s="106" t="s">
        <v>958</v>
      </c>
      <c r="H75" s="106" t="s">
        <v>2759</v>
      </c>
      <c r="I75" s="106" t="s">
        <v>2760</v>
      </c>
      <c r="J75" s="106" t="s">
        <v>843</v>
      </c>
      <c r="K75" s="106" t="s">
        <v>707</v>
      </c>
      <c r="L75" s="106" t="s">
        <v>955</v>
      </c>
      <c r="N75" s="91">
        <f t="shared" si="2"/>
        <v>1</v>
      </c>
      <c r="O75" s="79" t="s">
        <v>2476</v>
      </c>
      <c r="P75" s="79" t="s">
        <v>2476</v>
      </c>
      <c r="Q75" s="79" t="s">
        <v>2475</v>
      </c>
      <c r="R75" s="79" t="s">
        <v>2762</v>
      </c>
      <c r="S75" s="79" t="s">
        <v>2790</v>
      </c>
      <c r="T75" s="79" t="s">
        <v>978</v>
      </c>
      <c r="U75" s="79" t="s">
        <v>979</v>
      </c>
      <c r="V75" s="79" t="s">
        <v>707</v>
      </c>
      <c r="W75" s="79" t="s">
        <v>980</v>
      </c>
      <c r="Y75" s="79" t="s">
        <v>2475</v>
      </c>
    </row>
    <row r="76" spans="2:25" ht="12.75" customHeight="1" x14ac:dyDescent="0.2">
      <c r="B76" s="106" t="s">
        <v>2469</v>
      </c>
      <c r="C76" s="106" t="s">
        <v>2469</v>
      </c>
      <c r="D76" s="106" t="s">
        <v>2468</v>
      </c>
      <c r="E76" s="107" t="str">
        <f t="shared" si="3"/>
        <v>CLEVELAND, OH, 44115</v>
      </c>
      <c r="F76" s="106" t="s">
        <v>2468</v>
      </c>
      <c r="G76" s="106" t="s">
        <v>969</v>
      </c>
      <c r="H76" s="106" t="s">
        <v>2759</v>
      </c>
      <c r="I76" s="106" t="s">
        <v>2760</v>
      </c>
      <c r="J76" s="106" t="s">
        <v>843</v>
      </c>
      <c r="K76" s="106" t="s">
        <v>707</v>
      </c>
      <c r="L76" s="106" t="s">
        <v>970</v>
      </c>
      <c r="N76" s="91">
        <f t="shared" si="2"/>
        <v>1</v>
      </c>
      <c r="O76" s="79" t="s">
        <v>1943</v>
      </c>
      <c r="P76" s="79" t="s">
        <v>1943</v>
      </c>
      <c r="Q76" s="79" t="s">
        <v>1942</v>
      </c>
      <c r="R76" s="79" t="s">
        <v>2782</v>
      </c>
      <c r="S76" s="79" t="s">
        <v>2764</v>
      </c>
      <c r="T76" s="79" t="s">
        <v>1908</v>
      </c>
      <c r="U76" s="79" t="s">
        <v>1909</v>
      </c>
      <c r="V76" s="79" t="s">
        <v>1489</v>
      </c>
      <c r="W76" s="79" t="s">
        <v>1910</v>
      </c>
      <c r="Y76" s="79" t="s">
        <v>1942</v>
      </c>
    </row>
    <row r="77" spans="2:25" ht="12.75" customHeight="1" x14ac:dyDescent="0.2">
      <c r="B77" s="106" t="s">
        <v>2467</v>
      </c>
      <c r="C77" s="106" t="s">
        <v>2467</v>
      </c>
      <c r="D77" s="106" t="s">
        <v>2466</v>
      </c>
      <c r="E77" s="107" t="str">
        <f t="shared" si="3"/>
        <v>GRAND RIVER, OH, 44045</v>
      </c>
      <c r="F77" s="106" t="s">
        <v>2466</v>
      </c>
      <c r="G77" s="106" t="s">
        <v>964</v>
      </c>
      <c r="H77" s="106" t="s">
        <v>2759</v>
      </c>
      <c r="I77" s="106" t="s">
        <v>2761</v>
      </c>
      <c r="J77" s="106" t="s">
        <v>965</v>
      </c>
      <c r="K77" s="106" t="s">
        <v>707</v>
      </c>
      <c r="L77" s="106" t="s">
        <v>966</v>
      </c>
      <c r="N77" s="91">
        <f t="shared" si="2"/>
        <v>1</v>
      </c>
      <c r="O77" s="79" t="s">
        <v>2539</v>
      </c>
      <c r="P77" s="79" t="s">
        <v>2539</v>
      </c>
      <c r="Q77" s="79" t="s">
        <v>2538</v>
      </c>
      <c r="R77" s="79" t="s">
        <v>2762</v>
      </c>
      <c r="S77" s="79" t="s">
        <v>2790</v>
      </c>
      <c r="T77" s="79" t="s">
        <v>978</v>
      </c>
      <c r="U77" s="79" t="s">
        <v>979</v>
      </c>
      <c r="V77" s="79" t="s">
        <v>707</v>
      </c>
      <c r="W77" s="79" t="s">
        <v>980</v>
      </c>
      <c r="Y77" s="79" t="s">
        <v>2538</v>
      </c>
    </row>
    <row r="78" spans="2:25" ht="12.75" customHeight="1" x14ac:dyDescent="0.2">
      <c r="B78" s="106" t="s">
        <v>2471</v>
      </c>
      <c r="C78" s="106" t="s">
        <v>2471</v>
      </c>
      <c r="D78" s="106" t="s">
        <v>2470</v>
      </c>
      <c r="E78" s="107" t="str">
        <f t="shared" si="3"/>
        <v>CONNEAUT, OH, 44030</v>
      </c>
      <c r="F78" s="106" t="s">
        <v>2470</v>
      </c>
      <c r="G78" s="106" t="s">
        <v>2472</v>
      </c>
      <c r="H78" s="106" t="s">
        <v>2762</v>
      </c>
      <c r="I78" s="106" t="s">
        <v>2790</v>
      </c>
      <c r="J78" s="106" t="s">
        <v>2473</v>
      </c>
      <c r="K78" s="106" t="s">
        <v>707</v>
      </c>
      <c r="L78" s="106" t="s">
        <v>2474</v>
      </c>
      <c r="N78" s="91">
        <f t="shared" si="2"/>
        <v>1</v>
      </c>
      <c r="O78" s="79" t="s">
        <v>1328</v>
      </c>
      <c r="P78" s="79" t="s">
        <v>1328</v>
      </c>
      <c r="Q78" s="79" t="s">
        <v>1327</v>
      </c>
      <c r="R78" s="79" t="s">
        <v>2762</v>
      </c>
      <c r="S78" s="79" t="s">
        <v>2766</v>
      </c>
      <c r="T78" s="79" t="s">
        <v>1329</v>
      </c>
      <c r="U78" s="79" t="s">
        <v>1330</v>
      </c>
      <c r="V78" s="79" t="s">
        <v>707</v>
      </c>
      <c r="W78" s="79" t="s">
        <v>1331</v>
      </c>
      <c r="Y78" s="79" t="s">
        <v>1327</v>
      </c>
    </row>
    <row r="79" spans="2:25" ht="12.75" customHeight="1" x14ac:dyDescent="0.2">
      <c r="B79" s="106" t="s">
        <v>2476</v>
      </c>
      <c r="C79" s="106" t="s">
        <v>2476</v>
      </c>
      <c r="D79" s="106" t="s">
        <v>2475</v>
      </c>
      <c r="E79" s="107" t="str">
        <f t="shared" si="3"/>
        <v>ASHTABULA, OH, 44004</v>
      </c>
      <c r="F79" s="106" t="s">
        <v>2475</v>
      </c>
      <c r="G79" s="106" t="s">
        <v>978</v>
      </c>
      <c r="H79" s="106" t="s">
        <v>2762</v>
      </c>
      <c r="I79" s="106" t="s">
        <v>2790</v>
      </c>
      <c r="J79" s="106" t="s">
        <v>979</v>
      </c>
      <c r="K79" s="106" t="s">
        <v>707</v>
      </c>
      <c r="L79" s="106" t="s">
        <v>980</v>
      </c>
      <c r="N79" s="91">
        <f t="shared" si="2"/>
        <v>1</v>
      </c>
      <c r="O79" s="79" t="s">
        <v>1279</v>
      </c>
      <c r="P79" s="79" t="s">
        <v>1279</v>
      </c>
      <c r="Q79" s="79" t="s">
        <v>1278</v>
      </c>
      <c r="R79" s="79" t="s">
        <v>2762</v>
      </c>
      <c r="S79" s="79" t="s">
        <v>2766</v>
      </c>
      <c r="T79" s="79" t="s">
        <v>1280</v>
      </c>
      <c r="U79" s="79" t="s">
        <v>775</v>
      </c>
      <c r="V79" s="79" t="s">
        <v>707</v>
      </c>
      <c r="W79" s="79" t="s">
        <v>1281</v>
      </c>
      <c r="Y79" s="79" t="s">
        <v>1278</v>
      </c>
    </row>
    <row r="80" spans="2:25" ht="12.75" customHeight="1" x14ac:dyDescent="0.2">
      <c r="B80" s="106" t="s">
        <v>1943</v>
      </c>
      <c r="C80" s="106" t="s">
        <v>1943</v>
      </c>
      <c r="D80" s="106" t="s">
        <v>1942</v>
      </c>
      <c r="E80" s="107" t="str">
        <f t="shared" si="3"/>
        <v>RAVENSWOOD, WV, 26164</v>
      </c>
      <c r="F80" s="106" t="s">
        <v>1942</v>
      </c>
      <c r="G80" s="106" t="s">
        <v>1908</v>
      </c>
      <c r="H80" s="106" t="s">
        <v>2782</v>
      </c>
      <c r="I80" s="106" t="s">
        <v>2764</v>
      </c>
      <c r="J80" s="106" t="s">
        <v>1909</v>
      </c>
      <c r="K80" s="106" t="s">
        <v>1489</v>
      </c>
      <c r="L80" s="106" t="s">
        <v>1910</v>
      </c>
      <c r="N80" s="91">
        <f t="shared" si="2"/>
        <v>2</v>
      </c>
      <c r="O80" s="79" t="s">
        <v>1279</v>
      </c>
      <c r="P80" s="79" t="s">
        <v>1279</v>
      </c>
      <c r="Q80" s="79" t="s">
        <v>2664</v>
      </c>
      <c r="R80" s="79" t="s">
        <v>2762</v>
      </c>
      <c r="S80" s="79" t="s">
        <v>2766</v>
      </c>
      <c r="T80" s="79" t="s">
        <v>1280</v>
      </c>
      <c r="U80" s="79" t="s">
        <v>775</v>
      </c>
      <c r="V80" s="79" t="s">
        <v>707</v>
      </c>
      <c r="W80" s="79" t="s">
        <v>1281</v>
      </c>
      <c r="Y80" s="79" t="s">
        <v>2664</v>
      </c>
    </row>
    <row r="81" spans="2:25" ht="12.75" customHeight="1" x14ac:dyDescent="0.2">
      <c r="B81" s="106" t="s">
        <v>2539</v>
      </c>
      <c r="C81" s="106" t="s">
        <v>2539</v>
      </c>
      <c r="D81" s="106" t="s">
        <v>2538</v>
      </c>
      <c r="E81" s="107" t="str">
        <f t="shared" si="3"/>
        <v>ASHTABULA, OH, 44004</v>
      </c>
      <c r="F81" s="106" t="s">
        <v>2538</v>
      </c>
      <c r="G81" s="106" t="s">
        <v>978</v>
      </c>
      <c r="H81" s="106" t="s">
        <v>2762</v>
      </c>
      <c r="I81" s="106" t="s">
        <v>2790</v>
      </c>
      <c r="J81" s="106" t="s">
        <v>979</v>
      </c>
      <c r="K81" s="106" t="s">
        <v>707</v>
      </c>
      <c r="L81" s="106" t="s">
        <v>980</v>
      </c>
      <c r="N81" s="91">
        <f t="shared" si="2"/>
        <v>1</v>
      </c>
      <c r="O81" s="79" t="s">
        <v>1283</v>
      </c>
      <c r="P81" s="79" t="s">
        <v>1283</v>
      </c>
      <c r="Q81" s="79" t="s">
        <v>1282</v>
      </c>
      <c r="R81" s="79" t="s">
        <v>2762</v>
      </c>
      <c r="S81" s="79" t="s">
        <v>2769</v>
      </c>
      <c r="T81" s="79" t="s">
        <v>807</v>
      </c>
      <c r="U81" s="79" t="s">
        <v>808</v>
      </c>
      <c r="V81" s="79" t="s">
        <v>707</v>
      </c>
      <c r="W81" s="79" t="s">
        <v>809</v>
      </c>
      <c r="Y81" s="79" t="s">
        <v>1282</v>
      </c>
    </row>
    <row r="82" spans="2:25" ht="12.75" customHeight="1" x14ac:dyDescent="0.2">
      <c r="B82" s="106" t="s">
        <v>1328</v>
      </c>
      <c r="C82" s="106" t="s">
        <v>1328</v>
      </c>
      <c r="D82" s="106" t="s">
        <v>1327</v>
      </c>
      <c r="E82" s="107" t="str">
        <f t="shared" si="3"/>
        <v>NAVARRE, OH, 44662</v>
      </c>
      <c r="F82" s="106" t="s">
        <v>1327</v>
      </c>
      <c r="G82" s="106" t="s">
        <v>1329</v>
      </c>
      <c r="H82" s="106" t="s">
        <v>2762</v>
      </c>
      <c r="I82" s="106" t="s">
        <v>2766</v>
      </c>
      <c r="J82" s="106" t="s">
        <v>1330</v>
      </c>
      <c r="K82" s="106" t="s">
        <v>707</v>
      </c>
      <c r="L82" s="106" t="s">
        <v>1331</v>
      </c>
      <c r="N82" s="91">
        <f t="shared" si="2"/>
        <v>1</v>
      </c>
      <c r="O82" s="79" t="s">
        <v>2219</v>
      </c>
      <c r="P82" s="79" t="s">
        <v>2219</v>
      </c>
      <c r="Q82" s="79" t="s">
        <v>2218</v>
      </c>
      <c r="R82" s="79" t="s">
        <v>2782</v>
      </c>
      <c r="S82" s="79" t="s">
        <v>2792</v>
      </c>
      <c r="T82" s="79" t="s">
        <v>2220</v>
      </c>
      <c r="U82" s="79" t="s">
        <v>2221</v>
      </c>
      <c r="V82" s="79" t="s">
        <v>707</v>
      </c>
      <c r="W82" s="79" t="s">
        <v>2222</v>
      </c>
      <c r="Y82" s="79" t="s">
        <v>2218</v>
      </c>
    </row>
    <row r="83" spans="2:25" ht="12.75" customHeight="1" x14ac:dyDescent="0.2">
      <c r="B83" s="106" t="s">
        <v>1279</v>
      </c>
      <c r="C83" s="106" t="s">
        <v>1279</v>
      </c>
      <c r="D83" s="106" t="s">
        <v>1278</v>
      </c>
      <c r="E83" s="107" t="str">
        <f t="shared" si="3"/>
        <v>CANTON, OH, 44705</v>
      </c>
      <c r="F83" s="106" t="s">
        <v>1278</v>
      </c>
      <c r="G83" s="106" t="s">
        <v>1280</v>
      </c>
      <c r="H83" s="106" t="s">
        <v>2762</v>
      </c>
      <c r="I83" s="106" t="s">
        <v>2766</v>
      </c>
      <c r="J83" s="106" t="s">
        <v>775</v>
      </c>
      <c r="K83" s="106" t="s">
        <v>707</v>
      </c>
      <c r="L83" s="106" t="s">
        <v>1281</v>
      </c>
      <c r="N83" s="91">
        <f t="shared" si="2"/>
        <v>1</v>
      </c>
      <c r="O83" s="79" t="s">
        <v>2567</v>
      </c>
      <c r="P83" s="79" t="s">
        <v>2567</v>
      </c>
      <c r="Q83" s="79" t="s">
        <v>2566</v>
      </c>
      <c r="R83" s="79" t="s">
        <v>2762</v>
      </c>
      <c r="S83" s="79" t="s">
        <v>2764</v>
      </c>
      <c r="T83" s="79" t="s">
        <v>2568</v>
      </c>
      <c r="U83" s="79" t="s">
        <v>2569</v>
      </c>
      <c r="V83" s="79" t="s">
        <v>898</v>
      </c>
      <c r="W83" s="79" t="s">
        <v>2570</v>
      </c>
      <c r="Y83" s="79" t="s">
        <v>2566</v>
      </c>
    </row>
    <row r="84" spans="2:25" ht="12.75" customHeight="1" x14ac:dyDescent="0.2">
      <c r="B84" s="143" t="s">
        <v>1279</v>
      </c>
      <c r="C84" s="143" t="s">
        <v>1279</v>
      </c>
      <c r="D84" s="143" t="s">
        <v>2664</v>
      </c>
      <c r="E84" s="107" t="str">
        <f t="shared" si="3"/>
        <v>CANTON, OH, 44705</v>
      </c>
      <c r="F84" s="143" t="s">
        <v>2664</v>
      </c>
      <c r="G84" s="143" t="s">
        <v>1280</v>
      </c>
      <c r="H84" s="143" t="s">
        <v>2762</v>
      </c>
      <c r="I84" s="143" t="s">
        <v>2766</v>
      </c>
      <c r="J84" s="143" t="s">
        <v>775</v>
      </c>
      <c r="K84" s="143" t="s">
        <v>707</v>
      </c>
      <c r="L84" s="143" t="s">
        <v>1281</v>
      </c>
      <c r="N84" s="91">
        <f t="shared" si="2"/>
        <v>1</v>
      </c>
      <c r="O84" s="79" t="s">
        <v>1348</v>
      </c>
      <c r="P84" s="79" t="s">
        <v>1348</v>
      </c>
      <c r="Q84" s="79" t="s">
        <v>1347</v>
      </c>
      <c r="R84" s="79" t="s">
        <v>2762</v>
      </c>
      <c r="S84" s="79" t="s">
        <v>2769</v>
      </c>
      <c r="T84" s="79" t="s">
        <v>1349</v>
      </c>
      <c r="U84" s="79" t="s">
        <v>1350</v>
      </c>
      <c r="V84" s="79" t="s">
        <v>707</v>
      </c>
      <c r="W84" s="79" t="s">
        <v>1351</v>
      </c>
      <c r="Y84" s="79" t="s">
        <v>1347</v>
      </c>
    </row>
    <row r="85" spans="2:25" ht="12.75" customHeight="1" x14ac:dyDescent="0.2">
      <c r="B85" s="106" t="s">
        <v>2219</v>
      </c>
      <c r="C85" s="106" t="s">
        <v>2219</v>
      </c>
      <c r="D85" s="106" t="s">
        <v>2218</v>
      </c>
      <c r="E85" s="107" t="str">
        <f t="shared" si="3"/>
        <v>LEWISVILLE, OH, 43754</v>
      </c>
      <c r="F85" s="106" t="s">
        <v>2218</v>
      </c>
      <c r="G85" s="106" t="s">
        <v>2220</v>
      </c>
      <c r="H85" s="106" t="s">
        <v>2782</v>
      </c>
      <c r="I85" s="106" t="s">
        <v>2792</v>
      </c>
      <c r="J85" s="106" t="s">
        <v>2221</v>
      </c>
      <c r="K85" s="106" t="s">
        <v>707</v>
      </c>
      <c r="L85" s="106" t="s">
        <v>2222</v>
      </c>
      <c r="N85" s="91">
        <f t="shared" ref="N85:N148" si="4">IF(O85=O84,1+N84,1)</f>
        <v>1</v>
      </c>
      <c r="O85" s="79" t="s">
        <v>1599</v>
      </c>
      <c r="P85" s="79" t="s">
        <v>1599</v>
      </c>
      <c r="Q85" s="79" t="s">
        <v>1598</v>
      </c>
      <c r="R85" s="79" t="s">
        <v>2786</v>
      </c>
      <c r="S85" s="79" t="s">
        <v>2793</v>
      </c>
      <c r="T85" s="79" t="s">
        <v>1600</v>
      </c>
      <c r="U85" s="79" t="s">
        <v>1574</v>
      </c>
      <c r="V85" s="79" t="s">
        <v>707</v>
      </c>
      <c r="W85" s="79" t="s">
        <v>1575</v>
      </c>
      <c r="Y85" s="79" t="s">
        <v>1598</v>
      </c>
    </row>
    <row r="86" spans="2:25" ht="12.75" customHeight="1" x14ac:dyDescent="0.2">
      <c r="B86" s="106" t="s">
        <v>2567</v>
      </c>
      <c r="C86" s="106" t="s">
        <v>2567</v>
      </c>
      <c r="D86" s="106" t="s">
        <v>2566</v>
      </c>
      <c r="E86" s="107" t="str">
        <f t="shared" si="3"/>
        <v>HERMITAGE, PA, 16148</v>
      </c>
      <c r="F86" s="106" t="s">
        <v>2566</v>
      </c>
      <c r="G86" s="106" t="s">
        <v>2568</v>
      </c>
      <c r="H86" s="106" t="s">
        <v>2762</v>
      </c>
      <c r="I86" s="106" t="s">
        <v>2764</v>
      </c>
      <c r="J86" s="106" t="s">
        <v>2569</v>
      </c>
      <c r="K86" s="106" t="s">
        <v>898</v>
      </c>
      <c r="L86" s="106" t="s">
        <v>2570</v>
      </c>
      <c r="N86" s="91">
        <f t="shared" si="4"/>
        <v>1</v>
      </c>
      <c r="O86" s="79" t="s">
        <v>2546</v>
      </c>
      <c r="P86" s="79" t="s">
        <v>2546</v>
      </c>
      <c r="Q86" s="79" t="s">
        <v>2545</v>
      </c>
      <c r="R86" s="79" t="s">
        <v>2762</v>
      </c>
      <c r="S86" s="79" t="s">
        <v>2769</v>
      </c>
      <c r="T86" s="79" t="s">
        <v>1411</v>
      </c>
      <c r="U86" s="79" t="s">
        <v>1323</v>
      </c>
      <c r="V86" s="79" t="s">
        <v>707</v>
      </c>
      <c r="W86" s="79" t="s">
        <v>1324</v>
      </c>
      <c r="Y86" s="79" t="s">
        <v>2545</v>
      </c>
    </row>
    <row r="87" spans="2:25" ht="12.75" customHeight="1" x14ac:dyDescent="0.2">
      <c r="B87" s="106" t="s">
        <v>1348</v>
      </c>
      <c r="C87" s="106" t="s">
        <v>1348</v>
      </c>
      <c r="D87" s="106" t="s">
        <v>1347</v>
      </c>
      <c r="E87" s="107" t="str">
        <f t="shared" si="3"/>
        <v>MILTON TOWNSHIP, OH, 44512</v>
      </c>
      <c r="F87" s="106" t="s">
        <v>1347</v>
      </c>
      <c r="G87" s="106" t="s">
        <v>1349</v>
      </c>
      <c r="H87" s="106" t="s">
        <v>2762</v>
      </c>
      <c r="I87" s="106" t="s">
        <v>2769</v>
      </c>
      <c r="J87" s="106" t="s">
        <v>1350</v>
      </c>
      <c r="K87" s="106" t="s">
        <v>707</v>
      </c>
      <c r="L87" s="106" t="s">
        <v>1351</v>
      </c>
      <c r="N87" s="91">
        <f t="shared" si="4"/>
        <v>1</v>
      </c>
      <c r="O87" s="79" t="s">
        <v>2548</v>
      </c>
      <c r="P87" s="79" t="s">
        <v>2548</v>
      </c>
      <c r="Q87" s="79" t="s">
        <v>2547</v>
      </c>
      <c r="R87" s="79" t="s">
        <v>2759</v>
      </c>
      <c r="S87" s="79" t="s">
        <v>2760</v>
      </c>
      <c r="T87" s="79" t="s">
        <v>2549</v>
      </c>
      <c r="U87" s="79" t="s">
        <v>843</v>
      </c>
      <c r="V87" s="79" t="s">
        <v>707</v>
      </c>
      <c r="W87" s="79" t="s">
        <v>955</v>
      </c>
      <c r="Y87" s="79" t="s">
        <v>2547</v>
      </c>
    </row>
    <row r="88" spans="2:25" ht="12.75" customHeight="1" x14ac:dyDescent="0.2">
      <c r="B88" s="106" t="s">
        <v>1599</v>
      </c>
      <c r="C88" s="106" t="s">
        <v>1599</v>
      </c>
      <c r="D88" s="106" t="s">
        <v>1598</v>
      </c>
      <c r="E88" s="107" t="str">
        <f t="shared" si="3"/>
        <v>NEWCOMERSTOWN, OH, 43832</v>
      </c>
      <c r="F88" s="106" t="s">
        <v>1598</v>
      </c>
      <c r="G88" s="106" t="s">
        <v>1600</v>
      </c>
      <c r="H88" s="106" t="s">
        <v>2786</v>
      </c>
      <c r="I88" s="106" t="s">
        <v>2793</v>
      </c>
      <c r="J88" s="106" t="s">
        <v>1574</v>
      </c>
      <c r="K88" s="106" t="s">
        <v>707</v>
      </c>
      <c r="L88" s="106" t="s">
        <v>1575</v>
      </c>
      <c r="N88" s="91">
        <f t="shared" si="4"/>
        <v>1</v>
      </c>
      <c r="O88" s="79" t="s">
        <v>1298</v>
      </c>
      <c r="P88" s="79" t="s">
        <v>1298</v>
      </c>
      <c r="Q88" s="79" t="s">
        <v>1297</v>
      </c>
      <c r="R88" s="79" t="s">
        <v>2762</v>
      </c>
      <c r="S88" s="79" t="s">
        <v>2774</v>
      </c>
      <c r="T88" s="79" t="s">
        <v>1299</v>
      </c>
      <c r="U88" s="79" t="s">
        <v>822</v>
      </c>
      <c r="V88" s="79" t="s">
        <v>707</v>
      </c>
      <c r="W88" s="79" t="s">
        <v>823</v>
      </c>
      <c r="Y88" s="79" t="s">
        <v>1297</v>
      </c>
    </row>
    <row r="89" spans="2:25" ht="12.75" customHeight="1" x14ac:dyDescent="0.2">
      <c r="B89" s="106" t="s">
        <v>2546</v>
      </c>
      <c r="C89" s="106" t="s">
        <v>2546</v>
      </c>
      <c r="D89" s="106" t="s">
        <v>2545</v>
      </c>
      <c r="E89" s="107" t="str">
        <f t="shared" si="3"/>
        <v>NORTH JACKSON, OH, 44451</v>
      </c>
      <c r="F89" s="106" t="s">
        <v>2545</v>
      </c>
      <c r="G89" s="106" t="s">
        <v>1411</v>
      </c>
      <c r="H89" s="106" t="s">
        <v>2762</v>
      </c>
      <c r="I89" s="106" t="s">
        <v>2769</v>
      </c>
      <c r="J89" s="106" t="s">
        <v>1323</v>
      </c>
      <c r="K89" s="106" t="s">
        <v>707</v>
      </c>
      <c r="L89" s="106" t="s">
        <v>1324</v>
      </c>
      <c r="N89" s="91">
        <f t="shared" si="4"/>
        <v>1</v>
      </c>
      <c r="O89" s="79" t="s">
        <v>1771</v>
      </c>
      <c r="P89" s="79" t="s">
        <v>1771</v>
      </c>
      <c r="Q89" s="79" t="s">
        <v>1770</v>
      </c>
      <c r="R89" s="79" t="s">
        <v>2775</v>
      </c>
      <c r="S89" s="79" t="s">
        <v>2794</v>
      </c>
      <c r="T89" s="79" t="s">
        <v>1772</v>
      </c>
      <c r="U89" s="79" t="s">
        <v>1773</v>
      </c>
      <c r="V89" s="79" t="s">
        <v>707</v>
      </c>
      <c r="W89" s="79" t="s">
        <v>1774</v>
      </c>
      <c r="Y89" s="79" t="s">
        <v>1770</v>
      </c>
    </row>
    <row r="90" spans="2:25" ht="12.75" customHeight="1" x14ac:dyDescent="0.2">
      <c r="B90" s="106" t="s">
        <v>2548</v>
      </c>
      <c r="C90" s="106" t="s">
        <v>2548</v>
      </c>
      <c r="D90" s="106" t="s">
        <v>2547</v>
      </c>
      <c r="E90" s="107" t="str">
        <f t="shared" si="3"/>
        <v>CLEVELAND, OH, 44113</v>
      </c>
      <c r="F90" s="106" t="s">
        <v>2547</v>
      </c>
      <c r="G90" s="106" t="s">
        <v>3158</v>
      </c>
      <c r="H90" s="106" t="s">
        <v>2759</v>
      </c>
      <c r="I90" s="106" t="s">
        <v>2760</v>
      </c>
      <c r="J90" s="106" t="s">
        <v>843</v>
      </c>
      <c r="K90" s="106" t="s">
        <v>707</v>
      </c>
      <c r="L90" s="106" t="s">
        <v>955</v>
      </c>
      <c r="N90" s="91">
        <f t="shared" si="4"/>
        <v>1</v>
      </c>
      <c r="O90" s="79" t="s">
        <v>1557</v>
      </c>
      <c r="P90" s="79" t="s">
        <v>1557</v>
      </c>
      <c r="Q90" s="79" t="s">
        <v>1556</v>
      </c>
      <c r="R90" s="79" t="s">
        <v>2786</v>
      </c>
      <c r="S90" s="79" t="s">
        <v>2795</v>
      </c>
      <c r="T90" s="79" t="s">
        <v>1558</v>
      </c>
      <c r="U90" s="79" t="s">
        <v>1559</v>
      </c>
      <c r="V90" s="79" t="s">
        <v>707</v>
      </c>
      <c r="W90" s="79" t="s">
        <v>1560</v>
      </c>
      <c r="Y90" s="79" t="s">
        <v>1556</v>
      </c>
    </row>
    <row r="91" spans="2:25" ht="12.75" customHeight="1" x14ac:dyDescent="0.2">
      <c r="B91" s="106" t="s">
        <v>1298</v>
      </c>
      <c r="C91" s="106" t="s">
        <v>1298</v>
      </c>
      <c r="D91" s="106" t="s">
        <v>1297</v>
      </c>
      <c r="E91" s="107" t="str">
        <f t="shared" si="3"/>
        <v>KENT, OH, 44240</v>
      </c>
      <c r="F91" s="106" t="s">
        <v>1297</v>
      </c>
      <c r="G91" s="106" t="s">
        <v>1299</v>
      </c>
      <c r="H91" s="106" t="s">
        <v>2762</v>
      </c>
      <c r="I91" s="106" t="s">
        <v>2774</v>
      </c>
      <c r="J91" s="106" t="s">
        <v>822</v>
      </c>
      <c r="K91" s="106" t="s">
        <v>707</v>
      </c>
      <c r="L91" s="106" t="s">
        <v>823</v>
      </c>
      <c r="N91" s="91">
        <f t="shared" si="4"/>
        <v>1</v>
      </c>
      <c r="O91" s="79" t="s">
        <v>1499</v>
      </c>
      <c r="P91" s="79" t="s">
        <v>1499</v>
      </c>
      <c r="Q91" s="79" t="s">
        <v>1498</v>
      </c>
      <c r="R91" s="79" t="s">
        <v>2762</v>
      </c>
      <c r="S91" s="79" t="s">
        <v>2774</v>
      </c>
      <c r="T91" s="79" t="s">
        <v>1500</v>
      </c>
      <c r="U91" s="79" t="s">
        <v>1501</v>
      </c>
      <c r="V91" s="79" t="s">
        <v>707</v>
      </c>
      <c r="W91" s="79" t="s">
        <v>1502</v>
      </c>
      <c r="Y91" s="79" t="s">
        <v>1498</v>
      </c>
    </row>
    <row r="92" spans="2:25" ht="12.75" customHeight="1" x14ac:dyDescent="0.2">
      <c r="B92" s="106" t="s">
        <v>1557</v>
      </c>
      <c r="C92" s="106" t="s">
        <v>1557</v>
      </c>
      <c r="D92" s="106" t="s">
        <v>1556</v>
      </c>
      <c r="E92" s="107" t="str">
        <f t="shared" si="3"/>
        <v>CUMBERLAND, OH, 43732</v>
      </c>
      <c r="F92" s="106" t="s">
        <v>1556</v>
      </c>
      <c r="G92" s="106" t="s">
        <v>1558</v>
      </c>
      <c r="H92" s="106" t="s">
        <v>2786</v>
      </c>
      <c r="I92" s="106" t="s">
        <v>2795</v>
      </c>
      <c r="J92" s="106" t="s">
        <v>1559</v>
      </c>
      <c r="K92" s="106" t="s">
        <v>707</v>
      </c>
      <c r="L92" s="106" t="s">
        <v>1560</v>
      </c>
      <c r="N92" s="91">
        <f t="shared" si="4"/>
        <v>1</v>
      </c>
      <c r="O92" s="79" t="s">
        <v>1495</v>
      </c>
      <c r="P92" s="79" t="s">
        <v>1495</v>
      </c>
      <c r="Q92" s="79" t="s">
        <v>1494</v>
      </c>
      <c r="R92" s="79" t="s">
        <v>2762</v>
      </c>
      <c r="S92" s="79" t="s">
        <v>2764</v>
      </c>
      <c r="T92" s="79" t="s">
        <v>1496</v>
      </c>
      <c r="U92" s="79" t="s">
        <v>1497</v>
      </c>
      <c r="V92" s="79" t="s">
        <v>898</v>
      </c>
      <c r="W92" s="79" t="s">
        <v>1462</v>
      </c>
      <c r="Y92" s="79" t="s">
        <v>1494</v>
      </c>
    </row>
    <row r="93" spans="2:25" ht="12.75" customHeight="1" x14ac:dyDescent="0.2">
      <c r="B93" s="106" t="s">
        <v>1499</v>
      </c>
      <c r="C93" s="106" t="s">
        <v>1499</v>
      </c>
      <c r="D93" s="106" t="s">
        <v>1498</v>
      </c>
      <c r="E93" s="107" t="str">
        <f t="shared" si="3"/>
        <v>MOGADORE, OH, 44260</v>
      </c>
      <c r="F93" s="106" t="s">
        <v>1498</v>
      </c>
      <c r="G93" s="106" t="s">
        <v>1500</v>
      </c>
      <c r="H93" s="106" t="s">
        <v>2762</v>
      </c>
      <c r="I93" s="106" t="s">
        <v>2774</v>
      </c>
      <c r="J93" s="106" t="s">
        <v>1501</v>
      </c>
      <c r="K93" s="106" t="s">
        <v>707</v>
      </c>
      <c r="L93" s="106" t="s">
        <v>1502</v>
      </c>
      <c r="N93" s="91">
        <f t="shared" si="4"/>
        <v>1</v>
      </c>
      <c r="O93" s="79" t="s">
        <v>2500</v>
      </c>
      <c r="P93" s="79" t="s">
        <v>2500</v>
      </c>
      <c r="Q93" s="79" t="s">
        <v>2499</v>
      </c>
      <c r="R93" s="79" t="s">
        <v>2759</v>
      </c>
      <c r="S93" s="79" t="s">
        <v>2760</v>
      </c>
      <c r="T93" s="79" t="s">
        <v>969</v>
      </c>
      <c r="U93" s="79" t="s">
        <v>843</v>
      </c>
      <c r="V93" s="79" t="s">
        <v>707</v>
      </c>
      <c r="W93" s="79" t="s">
        <v>970</v>
      </c>
      <c r="Y93" s="79" t="s">
        <v>2499</v>
      </c>
    </row>
    <row r="94" spans="2:25" ht="12.75" customHeight="1" x14ac:dyDescent="0.2">
      <c r="B94" s="106" t="s">
        <v>1495</v>
      </c>
      <c r="C94" s="106" t="s">
        <v>1495</v>
      </c>
      <c r="D94" s="106" t="s">
        <v>1494</v>
      </c>
      <c r="E94" s="107" t="str">
        <f t="shared" si="3"/>
        <v>MERCER, PA, 16137</v>
      </c>
      <c r="F94" s="106" t="s">
        <v>1494</v>
      </c>
      <c r="G94" s="106" t="s">
        <v>1496</v>
      </c>
      <c r="H94" s="106" t="s">
        <v>2762</v>
      </c>
      <c r="I94" s="106" t="s">
        <v>2764</v>
      </c>
      <c r="J94" s="106" t="s">
        <v>1497</v>
      </c>
      <c r="K94" s="106" t="s">
        <v>898</v>
      </c>
      <c r="L94" s="106" t="s">
        <v>1462</v>
      </c>
      <c r="N94" s="91">
        <f t="shared" si="4"/>
        <v>1</v>
      </c>
      <c r="O94" s="79" t="s">
        <v>2498</v>
      </c>
      <c r="P94" s="79" t="s">
        <v>2498</v>
      </c>
      <c r="Q94" s="79" t="s">
        <v>2497</v>
      </c>
      <c r="R94" s="79" t="s">
        <v>2759</v>
      </c>
      <c r="S94" s="79" t="s">
        <v>2761</v>
      </c>
      <c r="T94" s="79" t="s">
        <v>2486</v>
      </c>
      <c r="U94" s="79" t="s">
        <v>2487</v>
      </c>
      <c r="V94" s="79" t="s">
        <v>707</v>
      </c>
      <c r="W94" s="79" t="s">
        <v>2488</v>
      </c>
      <c r="Y94" s="79" t="s">
        <v>2497</v>
      </c>
    </row>
    <row r="95" spans="2:25" ht="12.75" customHeight="1" x14ac:dyDescent="0.2">
      <c r="B95" s="106" t="s">
        <v>2500</v>
      </c>
      <c r="C95" s="106" t="s">
        <v>2500</v>
      </c>
      <c r="D95" s="106" t="s">
        <v>2499</v>
      </c>
      <c r="E95" s="107" t="str">
        <f t="shared" si="3"/>
        <v>CLEVELAND, OH, 44115</v>
      </c>
      <c r="F95" s="106" t="s">
        <v>2499</v>
      </c>
      <c r="G95" s="106" t="s">
        <v>969</v>
      </c>
      <c r="H95" s="106" t="s">
        <v>2759</v>
      </c>
      <c r="I95" s="106" t="s">
        <v>2760</v>
      </c>
      <c r="J95" s="106" t="s">
        <v>843</v>
      </c>
      <c r="K95" s="106" t="s">
        <v>707</v>
      </c>
      <c r="L95" s="106" t="s">
        <v>970</v>
      </c>
      <c r="N95" s="91">
        <f t="shared" si="4"/>
        <v>1</v>
      </c>
      <c r="O95" s="79" t="s">
        <v>2496</v>
      </c>
      <c r="P95" s="79" t="s">
        <v>2496</v>
      </c>
      <c r="Q95" s="79" t="s">
        <v>2495</v>
      </c>
      <c r="R95" s="79" t="s">
        <v>2759</v>
      </c>
      <c r="S95" s="79" t="s">
        <v>2760</v>
      </c>
      <c r="T95" s="79" t="s">
        <v>954</v>
      </c>
      <c r="U95" s="79" t="s">
        <v>843</v>
      </c>
      <c r="V95" s="79" t="s">
        <v>707</v>
      </c>
      <c r="W95" s="79" t="s">
        <v>955</v>
      </c>
      <c r="Y95" s="79" t="s">
        <v>2495</v>
      </c>
    </row>
    <row r="96" spans="2:25" ht="12.75" customHeight="1" x14ac:dyDescent="0.2">
      <c r="B96" s="106" t="s">
        <v>2498</v>
      </c>
      <c r="C96" s="106" t="s">
        <v>2498</v>
      </c>
      <c r="D96" s="106" t="s">
        <v>2497</v>
      </c>
      <c r="E96" s="107" t="str">
        <f t="shared" si="3"/>
        <v>GRAND RIVER, OH, 44045</v>
      </c>
      <c r="F96" s="106" t="s">
        <v>2497</v>
      </c>
      <c r="G96" s="106" t="s">
        <v>964</v>
      </c>
      <c r="H96" s="106" t="s">
        <v>2759</v>
      </c>
      <c r="I96" s="106" t="s">
        <v>2761</v>
      </c>
      <c r="J96" s="106" t="s">
        <v>965</v>
      </c>
      <c r="K96" s="106" t="s">
        <v>707</v>
      </c>
      <c r="L96" s="106" t="s">
        <v>966</v>
      </c>
      <c r="N96" s="91">
        <f t="shared" si="4"/>
        <v>1</v>
      </c>
      <c r="O96" s="79" t="s">
        <v>1781</v>
      </c>
      <c r="P96" s="79" t="s">
        <v>1781</v>
      </c>
      <c r="Q96" s="79" t="s">
        <v>1780</v>
      </c>
      <c r="R96" s="79" t="s">
        <v>2775</v>
      </c>
      <c r="S96" s="79" t="s">
        <v>2796</v>
      </c>
      <c r="T96" s="79" t="s">
        <v>1782</v>
      </c>
      <c r="U96" s="79" t="s">
        <v>1783</v>
      </c>
      <c r="V96" s="79" t="s">
        <v>707</v>
      </c>
      <c r="W96" s="79" t="s">
        <v>1784</v>
      </c>
      <c r="Y96" s="79" t="s">
        <v>1780</v>
      </c>
    </row>
    <row r="97" spans="2:25" ht="12.75" customHeight="1" x14ac:dyDescent="0.2">
      <c r="B97" s="106" t="s">
        <v>2496</v>
      </c>
      <c r="C97" s="106" t="s">
        <v>2496</v>
      </c>
      <c r="D97" s="106" t="s">
        <v>2495</v>
      </c>
      <c r="E97" s="107" t="str">
        <f t="shared" si="3"/>
        <v>CLEVELAND, OH, 44113</v>
      </c>
      <c r="F97" s="106" t="s">
        <v>2495</v>
      </c>
      <c r="G97" s="106" t="s">
        <v>954</v>
      </c>
      <c r="H97" s="106" t="s">
        <v>2759</v>
      </c>
      <c r="I97" s="106" t="s">
        <v>2760</v>
      </c>
      <c r="J97" s="106" t="s">
        <v>843</v>
      </c>
      <c r="K97" s="106" t="s">
        <v>707</v>
      </c>
      <c r="L97" s="106" t="s">
        <v>955</v>
      </c>
      <c r="N97" s="91">
        <f t="shared" si="4"/>
        <v>1</v>
      </c>
      <c r="O97" s="79" t="s">
        <v>1874</v>
      </c>
      <c r="P97" s="79" t="s">
        <v>1874</v>
      </c>
      <c r="Q97" s="79" t="s">
        <v>1873</v>
      </c>
      <c r="R97" s="79" t="s">
        <v>2770</v>
      </c>
      <c r="S97" s="79" t="s">
        <v>2777</v>
      </c>
      <c r="T97" s="79" t="s">
        <v>1875</v>
      </c>
      <c r="U97" s="79" t="s">
        <v>1788</v>
      </c>
      <c r="V97" s="79" t="s">
        <v>707</v>
      </c>
      <c r="W97" s="79" t="s">
        <v>1789</v>
      </c>
      <c r="Y97" s="79" t="s">
        <v>1873</v>
      </c>
    </row>
    <row r="98" spans="2:25" ht="12.75" customHeight="1" x14ac:dyDescent="0.2">
      <c r="B98" s="106" t="s">
        <v>1781</v>
      </c>
      <c r="C98" s="106" t="s">
        <v>1781</v>
      </c>
      <c r="D98" s="106" t="s">
        <v>1780</v>
      </c>
      <c r="E98" s="107" t="str">
        <f t="shared" si="3"/>
        <v>HUNTSVILLE, OH, 43324</v>
      </c>
      <c r="F98" s="106" t="s">
        <v>1780</v>
      </c>
      <c r="G98" s="106" t="s">
        <v>1782</v>
      </c>
      <c r="H98" s="106" t="s">
        <v>2775</v>
      </c>
      <c r="I98" s="106" t="s">
        <v>2796</v>
      </c>
      <c r="J98" s="106" t="s">
        <v>1783</v>
      </c>
      <c r="K98" s="106" t="s">
        <v>707</v>
      </c>
      <c r="L98" s="106" t="s">
        <v>1784</v>
      </c>
      <c r="N98" s="91">
        <f t="shared" si="4"/>
        <v>1</v>
      </c>
      <c r="O98" s="79" t="s">
        <v>1301</v>
      </c>
      <c r="P98" s="79" t="s">
        <v>1301</v>
      </c>
      <c r="Q98" s="79" t="s">
        <v>1300</v>
      </c>
      <c r="R98" s="79" t="s">
        <v>2762</v>
      </c>
      <c r="S98" s="79" t="s">
        <v>2769</v>
      </c>
      <c r="T98" s="79" t="s">
        <v>1302</v>
      </c>
      <c r="U98" s="79" t="s">
        <v>1303</v>
      </c>
      <c r="V98" s="79" t="s">
        <v>707</v>
      </c>
      <c r="W98" s="79" t="s">
        <v>1304</v>
      </c>
      <c r="Y98" s="79" t="s">
        <v>1300</v>
      </c>
    </row>
    <row r="99" spans="2:25" ht="12.75" customHeight="1" x14ac:dyDescent="0.2">
      <c r="B99" s="106" t="s">
        <v>1874</v>
      </c>
      <c r="C99" s="106" t="s">
        <v>1874</v>
      </c>
      <c r="D99" s="106" t="s">
        <v>1873</v>
      </c>
      <c r="E99" s="107" t="str">
        <f t="shared" si="3"/>
        <v>GERMANTOWN, OH, 45327</v>
      </c>
      <c r="F99" s="106" t="s">
        <v>1873</v>
      </c>
      <c r="G99" s="106" t="s">
        <v>1875</v>
      </c>
      <c r="H99" s="106" t="s">
        <v>2770</v>
      </c>
      <c r="I99" s="106" t="s">
        <v>2777</v>
      </c>
      <c r="J99" s="106" t="s">
        <v>1788</v>
      </c>
      <c r="K99" s="106" t="s">
        <v>707</v>
      </c>
      <c r="L99" s="106" t="s">
        <v>1789</v>
      </c>
      <c r="N99" s="91">
        <f t="shared" si="4"/>
        <v>1</v>
      </c>
      <c r="O99" s="79" t="s">
        <v>1405</v>
      </c>
      <c r="P99" s="79" t="s">
        <v>1405</v>
      </c>
      <c r="Q99" s="79" t="s">
        <v>1404</v>
      </c>
      <c r="R99" s="79" t="s">
        <v>2762</v>
      </c>
      <c r="S99" s="79" t="s">
        <v>2769</v>
      </c>
      <c r="T99" s="79" t="s">
        <v>1406</v>
      </c>
      <c r="U99" s="79" t="s">
        <v>1303</v>
      </c>
      <c r="V99" s="79" t="s">
        <v>707</v>
      </c>
      <c r="W99" s="79" t="s">
        <v>1304</v>
      </c>
      <c r="Y99" s="79" t="s">
        <v>1404</v>
      </c>
    </row>
    <row r="100" spans="2:25" ht="12.75" customHeight="1" x14ac:dyDescent="0.2">
      <c r="B100" s="106" t="s">
        <v>1301</v>
      </c>
      <c r="C100" s="106" t="s">
        <v>1301</v>
      </c>
      <c r="D100" s="106" t="s">
        <v>1300</v>
      </c>
      <c r="E100" s="107" t="str">
        <f t="shared" si="3"/>
        <v>PETERSBURG, OH, 44454</v>
      </c>
      <c r="F100" s="106" t="s">
        <v>1300</v>
      </c>
      <c r="G100" s="106" t="s">
        <v>1302</v>
      </c>
      <c r="H100" s="106" t="s">
        <v>2762</v>
      </c>
      <c r="I100" s="106" t="s">
        <v>2769</v>
      </c>
      <c r="J100" s="106" t="s">
        <v>1303</v>
      </c>
      <c r="K100" s="106" t="s">
        <v>707</v>
      </c>
      <c r="L100" s="106" t="s">
        <v>1304</v>
      </c>
      <c r="N100" s="91">
        <f t="shared" si="4"/>
        <v>1</v>
      </c>
      <c r="O100" s="79" t="s">
        <v>1408</v>
      </c>
      <c r="P100" s="79" t="s">
        <v>1408</v>
      </c>
      <c r="Q100" s="79" t="s">
        <v>1407</v>
      </c>
      <c r="R100" s="79" t="s">
        <v>2762</v>
      </c>
      <c r="S100" s="79" t="s">
        <v>2769</v>
      </c>
      <c r="T100" s="79" t="s">
        <v>807</v>
      </c>
      <c r="U100" s="79" t="s">
        <v>808</v>
      </c>
      <c r="V100" s="79" t="s">
        <v>707</v>
      </c>
      <c r="W100" s="79" t="s">
        <v>809</v>
      </c>
      <c r="Y100" s="79" t="s">
        <v>1407</v>
      </c>
    </row>
    <row r="101" spans="2:25" ht="12.75" customHeight="1" x14ac:dyDescent="0.2">
      <c r="B101" s="106" t="s">
        <v>1410</v>
      </c>
      <c r="C101" s="106" t="s">
        <v>1410</v>
      </c>
      <c r="D101" s="106" t="s">
        <v>1409</v>
      </c>
      <c r="E101" s="107" t="str">
        <f t="shared" si="3"/>
        <v>NORTH JACKSON, OH, 44451</v>
      </c>
      <c r="F101" s="106" t="s">
        <v>1409</v>
      </c>
      <c r="G101" s="106" t="s">
        <v>1411</v>
      </c>
      <c r="H101" s="106" t="s">
        <v>2762</v>
      </c>
      <c r="I101" s="106" t="s">
        <v>2769</v>
      </c>
      <c r="J101" s="106" t="s">
        <v>1323</v>
      </c>
      <c r="K101" s="106" t="s">
        <v>707</v>
      </c>
      <c r="L101" s="106" t="s">
        <v>1324</v>
      </c>
      <c r="N101" s="91">
        <f t="shared" si="4"/>
        <v>1</v>
      </c>
      <c r="O101" s="79" t="s">
        <v>1410</v>
      </c>
      <c r="P101" s="79" t="s">
        <v>1410</v>
      </c>
      <c r="Q101" s="79" t="s">
        <v>1409</v>
      </c>
      <c r="R101" s="79" t="s">
        <v>2762</v>
      </c>
      <c r="S101" s="79" t="s">
        <v>2769</v>
      </c>
      <c r="T101" s="79" t="s">
        <v>1411</v>
      </c>
      <c r="U101" s="79" t="s">
        <v>1323</v>
      </c>
      <c r="V101" s="79" t="s">
        <v>707</v>
      </c>
      <c r="W101" s="79" t="s">
        <v>1324</v>
      </c>
      <c r="Y101" s="79" t="s">
        <v>1409</v>
      </c>
    </row>
    <row r="102" spans="2:25" ht="12.75" customHeight="1" x14ac:dyDescent="0.2">
      <c r="B102" s="106" t="s">
        <v>3129</v>
      </c>
      <c r="C102" s="106" t="s">
        <v>3129</v>
      </c>
      <c r="D102" s="106" t="s">
        <v>3130</v>
      </c>
      <c r="E102" s="107" t="str">
        <f t="shared" si="3"/>
        <v>GUYSVILLE, OH, 45692</v>
      </c>
      <c r="F102" s="106" t="s">
        <v>3130</v>
      </c>
      <c r="G102" s="106" t="s">
        <v>3131</v>
      </c>
      <c r="H102" s="106" t="s">
        <v>2782</v>
      </c>
      <c r="I102" s="106" t="s">
        <v>2819</v>
      </c>
      <c r="J102" s="106" t="s">
        <v>3132</v>
      </c>
      <c r="K102" s="106" t="s">
        <v>707</v>
      </c>
      <c r="L102" s="106" t="s">
        <v>2193</v>
      </c>
      <c r="N102" s="91">
        <f t="shared" si="4"/>
        <v>1</v>
      </c>
      <c r="O102" s="79" t="s">
        <v>2190</v>
      </c>
      <c r="P102" s="79" t="s">
        <v>2190</v>
      </c>
      <c r="Q102" s="79" t="s">
        <v>2189</v>
      </c>
      <c r="R102" s="79" t="s">
        <v>2780</v>
      </c>
      <c r="S102" s="79" t="s">
        <v>2797</v>
      </c>
      <c r="T102" s="79" t="s">
        <v>2191</v>
      </c>
      <c r="U102" s="79" t="s">
        <v>2192</v>
      </c>
      <c r="V102" s="79" t="s">
        <v>707</v>
      </c>
      <c r="W102" s="79" t="s">
        <v>2193</v>
      </c>
      <c r="Y102" s="79" t="s">
        <v>2189</v>
      </c>
    </row>
    <row r="103" spans="2:25" ht="12.75" customHeight="1" x14ac:dyDescent="0.2">
      <c r="B103" s="106" t="s">
        <v>2190</v>
      </c>
      <c r="C103" s="106" t="s">
        <v>2190</v>
      </c>
      <c r="D103" s="106" t="s">
        <v>2189</v>
      </c>
      <c r="E103" s="107" t="str">
        <f t="shared" si="3"/>
        <v>WELLSTON, OH, 45692</v>
      </c>
      <c r="F103" s="106" t="s">
        <v>2189</v>
      </c>
      <c r="G103" s="106" t="s">
        <v>2191</v>
      </c>
      <c r="H103" s="106" t="s">
        <v>2780</v>
      </c>
      <c r="I103" s="106" t="s">
        <v>2797</v>
      </c>
      <c r="J103" s="106" t="s">
        <v>2192</v>
      </c>
      <c r="K103" s="106" t="s">
        <v>707</v>
      </c>
      <c r="L103" s="106" t="s">
        <v>2193</v>
      </c>
      <c r="N103" s="91">
        <f t="shared" si="4"/>
        <v>1</v>
      </c>
      <c r="O103" s="79" t="s">
        <v>1713</v>
      </c>
      <c r="P103" s="79" t="s">
        <v>1713</v>
      </c>
      <c r="Q103" s="79" t="s">
        <v>1712</v>
      </c>
      <c r="R103" s="79" t="s">
        <v>2775</v>
      </c>
      <c r="S103" s="79" t="s">
        <v>2778</v>
      </c>
      <c r="T103" s="79" t="s">
        <v>1714</v>
      </c>
      <c r="U103" s="79" t="s">
        <v>1715</v>
      </c>
      <c r="V103" s="79" t="s">
        <v>707</v>
      </c>
      <c r="W103" s="79" t="s">
        <v>1716</v>
      </c>
      <c r="Y103" s="79" t="s">
        <v>1712</v>
      </c>
    </row>
    <row r="104" spans="2:25" ht="12.75" customHeight="1" x14ac:dyDescent="0.2">
      <c r="B104" s="106" t="s">
        <v>1713</v>
      </c>
      <c r="C104" s="106" t="s">
        <v>1713</v>
      </c>
      <c r="D104" s="106" t="s">
        <v>1712</v>
      </c>
      <c r="E104" s="107" t="str">
        <f t="shared" si="3"/>
        <v>ENON, OH, 45502</v>
      </c>
      <c r="F104" s="106" t="s">
        <v>1712</v>
      </c>
      <c r="G104" s="106" t="s">
        <v>1714</v>
      </c>
      <c r="H104" s="106" t="s">
        <v>2775</v>
      </c>
      <c r="I104" s="106" t="s">
        <v>2778</v>
      </c>
      <c r="J104" s="106" t="s">
        <v>1715</v>
      </c>
      <c r="K104" s="106" t="s">
        <v>707</v>
      </c>
      <c r="L104" s="106" t="s">
        <v>1716</v>
      </c>
      <c r="N104" s="91">
        <f t="shared" si="4"/>
        <v>1</v>
      </c>
      <c r="O104" s="79" t="s">
        <v>1228</v>
      </c>
      <c r="P104" s="79" t="s">
        <v>1228</v>
      </c>
      <c r="Q104" s="79" t="s">
        <v>1227</v>
      </c>
      <c r="R104" s="79" t="s">
        <v>2767</v>
      </c>
      <c r="S104" s="79" t="s">
        <v>2798</v>
      </c>
      <c r="T104" s="79" t="s">
        <v>1229</v>
      </c>
      <c r="U104" s="79" t="s">
        <v>1230</v>
      </c>
      <c r="V104" s="79" t="s">
        <v>707</v>
      </c>
      <c r="W104" s="79" t="s">
        <v>1231</v>
      </c>
      <c r="Y104" s="79" t="s">
        <v>1227</v>
      </c>
    </row>
    <row r="105" spans="2:25" ht="12.75" customHeight="1" x14ac:dyDescent="0.2">
      <c r="B105" s="106" t="s">
        <v>1228</v>
      </c>
      <c r="C105" s="106" t="s">
        <v>1228</v>
      </c>
      <c r="D105" s="106" t="s">
        <v>1227</v>
      </c>
      <c r="E105" s="107" t="str">
        <f t="shared" si="3"/>
        <v>SANDUSKY, OH, 44870</v>
      </c>
      <c r="F105" s="106" t="s">
        <v>1227</v>
      </c>
      <c r="G105" s="106" t="s">
        <v>1229</v>
      </c>
      <c r="H105" s="106" t="s">
        <v>2767</v>
      </c>
      <c r="I105" s="106" t="s">
        <v>2798</v>
      </c>
      <c r="J105" s="106" t="s">
        <v>1230</v>
      </c>
      <c r="K105" s="106" t="s">
        <v>707</v>
      </c>
      <c r="L105" s="106" t="s">
        <v>1231</v>
      </c>
      <c r="N105" s="91">
        <f t="shared" si="4"/>
        <v>1</v>
      </c>
      <c r="O105" s="79" t="s">
        <v>1235</v>
      </c>
      <c r="P105" s="79" t="s">
        <v>1235</v>
      </c>
      <c r="Q105" s="79" t="s">
        <v>1234</v>
      </c>
      <c r="R105" s="79" t="s">
        <v>2762</v>
      </c>
      <c r="S105" s="79" t="s">
        <v>2766</v>
      </c>
      <c r="T105" s="79" t="s">
        <v>816</v>
      </c>
      <c r="U105" s="79" t="s">
        <v>817</v>
      </c>
      <c r="V105" s="79" t="s">
        <v>707</v>
      </c>
      <c r="W105" s="79" t="s">
        <v>818</v>
      </c>
      <c r="Y105" s="79" t="s">
        <v>1234</v>
      </c>
    </row>
    <row r="106" spans="2:25" ht="12.75" customHeight="1" x14ac:dyDescent="0.2">
      <c r="B106" s="106" t="s">
        <v>1235</v>
      </c>
      <c r="C106" s="106" t="s">
        <v>1235</v>
      </c>
      <c r="D106" s="106" t="s">
        <v>1234</v>
      </c>
      <c r="E106" s="107" t="str">
        <f t="shared" si="3"/>
        <v>ALLIANCE, OH, 44601</v>
      </c>
      <c r="F106" s="106" t="s">
        <v>1234</v>
      </c>
      <c r="G106" s="106" t="s">
        <v>816</v>
      </c>
      <c r="H106" s="106" t="s">
        <v>2762</v>
      </c>
      <c r="I106" s="106" t="s">
        <v>2766</v>
      </c>
      <c r="J106" s="106" t="s">
        <v>817</v>
      </c>
      <c r="K106" s="106" t="s">
        <v>707</v>
      </c>
      <c r="L106" s="106" t="s">
        <v>818</v>
      </c>
      <c r="N106" s="91">
        <f t="shared" si="4"/>
        <v>1</v>
      </c>
      <c r="O106" s="79" t="s">
        <v>1233</v>
      </c>
      <c r="P106" s="79" t="s">
        <v>1233</v>
      </c>
      <c r="Q106" s="79" t="s">
        <v>1232</v>
      </c>
      <c r="R106" s="79" t="s">
        <v>2762</v>
      </c>
      <c r="S106" s="79" t="s">
        <v>2763</v>
      </c>
      <c r="T106" s="79" t="s">
        <v>997</v>
      </c>
      <c r="U106" s="79" t="s">
        <v>998</v>
      </c>
      <c r="V106" s="79" t="s">
        <v>707</v>
      </c>
      <c r="W106" s="79" t="s">
        <v>999</v>
      </c>
      <c r="Y106" s="79" t="s">
        <v>1232</v>
      </c>
    </row>
    <row r="107" spans="2:25" ht="12.75" customHeight="1" x14ac:dyDescent="0.2">
      <c r="B107" s="106" t="s">
        <v>1233</v>
      </c>
      <c r="C107" s="106" t="s">
        <v>1233</v>
      </c>
      <c r="D107" s="106" t="s">
        <v>1232</v>
      </c>
      <c r="E107" s="107" t="str">
        <f t="shared" si="3"/>
        <v>TWINSBURG, OH, 44087</v>
      </c>
      <c r="F107" s="106" t="s">
        <v>1232</v>
      </c>
      <c r="G107" s="106" t="s">
        <v>997</v>
      </c>
      <c r="H107" s="106" t="s">
        <v>2762</v>
      </c>
      <c r="I107" s="106" t="s">
        <v>2763</v>
      </c>
      <c r="J107" s="106" t="s">
        <v>998</v>
      </c>
      <c r="K107" s="106" t="s">
        <v>707</v>
      </c>
      <c r="L107" s="106" t="s">
        <v>999</v>
      </c>
      <c r="N107" s="91">
        <f t="shared" si="4"/>
        <v>1</v>
      </c>
      <c r="O107" s="79" t="s">
        <v>2172</v>
      </c>
      <c r="P107" s="79" t="s">
        <v>2172</v>
      </c>
      <c r="Q107" s="79" t="s">
        <v>2171</v>
      </c>
      <c r="R107" s="79" t="s">
        <v>2780</v>
      </c>
      <c r="S107" s="79" t="s">
        <v>2799</v>
      </c>
      <c r="T107" s="79" t="s">
        <v>2173</v>
      </c>
      <c r="U107" s="79" t="s">
        <v>2135</v>
      </c>
      <c r="V107" s="79" t="s">
        <v>707</v>
      </c>
      <c r="W107" s="79" t="s">
        <v>2136</v>
      </c>
      <c r="Y107" s="79" t="s">
        <v>2171</v>
      </c>
    </row>
    <row r="108" spans="2:25" ht="12.75" customHeight="1" x14ac:dyDescent="0.2">
      <c r="B108" s="106" t="s">
        <v>2172</v>
      </c>
      <c r="C108" s="106" t="s">
        <v>2172</v>
      </c>
      <c r="D108" s="106" t="s">
        <v>2171</v>
      </c>
      <c r="E108" s="107" t="str">
        <f t="shared" si="3"/>
        <v>HILLSBORO, OH, 45133</v>
      </c>
      <c r="F108" s="106" t="s">
        <v>2171</v>
      </c>
      <c r="G108" s="106" t="s">
        <v>2173</v>
      </c>
      <c r="H108" s="106" t="s">
        <v>2780</v>
      </c>
      <c r="I108" s="106" t="s">
        <v>2799</v>
      </c>
      <c r="J108" s="106" t="s">
        <v>2135</v>
      </c>
      <c r="K108" s="106" t="s">
        <v>707</v>
      </c>
      <c r="L108" s="106" t="s">
        <v>2136</v>
      </c>
      <c r="N108" s="91">
        <f t="shared" si="4"/>
        <v>1</v>
      </c>
      <c r="O108" s="79" t="s">
        <v>2062</v>
      </c>
      <c r="P108" s="79" t="s">
        <v>2062</v>
      </c>
      <c r="Q108" s="79" t="s">
        <v>2061</v>
      </c>
      <c r="R108" s="79" t="s">
        <v>2770</v>
      </c>
      <c r="S108" s="79" t="s">
        <v>2789</v>
      </c>
      <c r="T108" s="79" t="s">
        <v>2063</v>
      </c>
      <c r="U108" s="79" t="s">
        <v>1144</v>
      </c>
      <c r="V108" s="79" t="s">
        <v>707</v>
      </c>
      <c r="W108" s="79" t="s">
        <v>2064</v>
      </c>
      <c r="Y108" s="79" t="s">
        <v>2061</v>
      </c>
    </row>
    <row r="109" spans="2:25" ht="12.75" customHeight="1" x14ac:dyDescent="0.2">
      <c r="B109" s="106" t="s">
        <v>2062</v>
      </c>
      <c r="C109" s="106" t="s">
        <v>2062</v>
      </c>
      <c r="D109" s="106" t="s">
        <v>2061</v>
      </c>
      <c r="E109" s="107" t="str">
        <f t="shared" si="3"/>
        <v>CINCINNATI, OH, 45244</v>
      </c>
      <c r="F109" s="106" t="s">
        <v>2061</v>
      </c>
      <c r="G109" s="106" t="s">
        <v>2063</v>
      </c>
      <c r="H109" s="106" t="s">
        <v>2770</v>
      </c>
      <c r="I109" s="106" t="s">
        <v>2789</v>
      </c>
      <c r="J109" s="106" t="s">
        <v>1144</v>
      </c>
      <c r="K109" s="106" t="s">
        <v>707</v>
      </c>
      <c r="L109" s="106" t="s">
        <v>2064</v>
      </c>
      <c r="N109" s="91">
        <f t="shared" si="4"/>
        <v>1</v>
      </c>
      <c r="O109" s="79" t="s">
        <v>2356</v>
      </c>
      <c r="P109" s="79" t="s">
        <v>2356</v>
      </c>
      <c r="Q109" s="79" t="s">
        <v>2355</v>
      </c>
      <c r="R109" s="79" t="s">
        <v>2791</v>
      </c>
      <c r="S109" s="79" t="s">
        <v>2800</v>
      </c>
      <c r="T109" s="79" t="s">
        <v>2357</v>
      </c>
      <c r="U109" s="79" t="s">
        <v>2358</v>
      </c>
      <c r="V109" s="79" t="s">
        <v>707</v>
      </c>
      <c r="W109" s="79" t="s">
        <v>2359</v>
      </c>
      <c r="Y109" s="79" t="s">
        <v>2355</v>
      </c>
    </row>
    <row r="110" spans="2:25" ht="12.75" customHeight="1" x14ac:dyDescent="0.2">
      <c r="B110" s="106" t="s">
        <v>2356</v>
      </c>
      <c r="C110" s="106" t="s">
        <v>2356</v>
      </c>
      <c r="D110" s="106" t="s">
        <v>2355</v>
      </c>
      <c r="E110" s="107" t="str">
        <f t="shared" si="3"/>
        <v>FREDERICKSBURG, OH, 44627</v>
      </c>
      <c r="F110" s="106" t="s">
        <v>2355</v>
      </c>
      <c r="G110" s="106" t="s">
        <v>2357</v>
      </c>
      <c r="H110" s="106" t="s">
        <v>2791</v>
      </c>
      <c r="I110" s="106" t="s">
        <v>2800</v>
      </c>
      <c r="J110" s="106" t="s">
        <v>2358</v>
      </c>
      <c r="K110" s="106" t="s">
        <v>707</v>
      </c>
      <c r="L110" s="106" t="s">
        <v>2359</v>
      </c>
      <c r="N110" s="91">
        <f t="shared" si="4"/>
        <v>1</v>
      </c>
      <c r="O110" s="79" t="s">
        <v>1761</v>
      </c>
      <c r="P110" s="79" t="s">
        <v>1761</v>
      </c>
      <c r="Q110" s="79" t="s">
        <v>1760</v>
      </c>
      <c r="R110" s="79" t="s">
        <v>2775</v>
      </c>
      <c r="S110" s="79" t="s">
        <v>2801</v>
      </c>
      <c r="T110" s="79" t="s">
        <v>1762</v>
      </c>
      <c r="U110" s="79" t="s">
        <v>1763</v>
      </c>
      <c r="V110" s="79" t="s">
        <v>707</v>
      </c>
      <c r="W110" s="79" t="s">
        <v>1764</v>
      </c>
      <c r="Y110" s="79" t="s">
        <v>1760</v>
      </c>
    </row>
    <row r="111" spans="2:25" ht="12.75" customHeight="1" x14ac:dyDescent="0.2">
      <c r="B111" s="106" t="s">
        <v>1761</v>
      </c>
      <c r="C111" s="106" t="s">
        <v>1761</v>
      </c>
      <c r="D111" s="106" t="s">
        <v>1760</v>
      </c>
      <c r="E111" s="107" t="str">
        <f t="shared" si="3"/>
        <v>GREENVILLE, OH, 45331</v>
      </c>
      <c r="F111" s="106" t="s">
        <v>1760</v>
      </c>
      <c r="G111" s="106" t="s">
        <v>1762</v>
      </c>
      <c r="H111" s="106" t="s">
        <v>2775</v>
      </c>
      <c r="I111" s="106" t="s">
        <v>2801</v>
      </c>
      <c r="J111" s="106" t="s">
        <v>1763</v>
      </c>
      <c r="K111" s="106" t="s">
        <v>707</v>
      </c>
      <c r="L111" s="106" t="s">
        <v>1764</v>
      </c>
      <c r="N111" s="91">
        <f t="shared" si="4"/>
        <v>1</v>
      </c>
      <c r="O111" s="79" t="s">
        <v>1147</v>
      </c>
      <c r="P111" s="79" t="s">
        <v>1147</v>
      </c>
      <c r="Q111" s="79" t="s">
        <v>1146</v>
      </c>
      <c r="R111" s="79" t="s">
        <v>2772</v>
      </c>
      <c r="S111" s="79" t="s">
        <v>2802</v>
      </c>
      <c r="T111" s="79" t="s">
        <v>1148</v>
      </c>
      <c r="U111" s="79" t="s">
        <v>1149</v>
      </c>
      <c r="V111" s="79" t="s">
        <v>707</v>
      </c>
      <c r="W111" s="79" t="s">
        <v>1150</v>
      </c>
      <c r="Y111" s="79" t="s">
        <v>1146</v>
      </c>
    </row>
    <row r="112" spans="2:25" ht="12.75" customHeight="1" x14ac:dyDescent="0.2">
      <c r="B112" s="106" t="s">
        <v>1147</v>
      </c>
      <c r="C112" s="106" t="s">
        <v>1147</v>
      </c>
      <c r="D112" s="106" t="s">
        <v>1146</v>
      </c>
      <c r="E112" s="107" t="str">
        <f t="shared" si="3"/>
        <v>DELTA, OH, 43515</v>
      </c>
      <c r="F112" s="106" t="s">
        <v>1146</v>
      </c>
      <c r="G112" s="106" t="s">
        <v>1148</v>
      </c>
      <c r="H112" s="106" t="s">
        <v>2772</v>
      </c>
      <c r="I112" s="106" t="s">
        <v>2802</v>
      </c>
      <c r="J112" s="106" t="s">
        <v>1149</v>
      </c>
      <c r="K112" s="106" t="s">
        <v>707</v>
      </c>
      <c r="L112" s="106" t="s">
        <v>1150</v>
      </c>
      <c r="N112" s="91">
        <f t="shared" si="4"/>
        <v>2</v>
      </c>
      <c r="O112" s="79" t="s">
        <v>1147</v>
      </c>
      <c r="P112" s="79" t="s">
        <v>1147</v>
      </c>
      <c r="Q112" s="79" t="s">
        <v>2596</v>
      </c>
      <c r="R112" s="79" t="s">
        <v>2772</v>
      </c>
      <c r="S112" s="79" t="s">
        <v>2802</v>
      </c>
      <c r="T112" s="79" t="s">
        <v>1148</v>
      </c>
      <c r="U112" s="79" t="s">
        <v>1149</v>
      </c>
      <c r="V112" s="79" t="s">
        <v>707</v>
      </c>
      <c r="W112" s="79" t="s">
        <v>1150</v>
      </c>
      <c r="Y112" s="79" t="s">
        <v>2596</v>
      </c>
    </row>
    <row r="113" spans="2:25" ht="12.75" customHeight="1" x14ac:dyDescent="0.2">
      <c r="B113" s="106" t="s">
        <v>1147</v>
      </c>
      <c r="C113" s="106" t="s">
        <v>1147</v>
      </c>
      <c r="D113" s="106" t="s">
        <v>2596</v>
      </c>
      <c r="E113" s="107" t="str">
        <f t="shared" si="3"/>
        <v>DELTA, OH, 43515</v>
      </c>
      <c r="F113" s="106" t="s">
        <v>2596</v>
      </c>
      <c r="G113" s="106" t="s">
        <v>1148</v>
      </c>
      <c r="H113" s="106" t="s">
        <v>2772</v>
      </c>
      <c r="I113" s="106" t="s">
        <v>2802</v>
      </c>
      <c r="J113" s="106" t="s">
        <v>1149</v>
      </c>
      <c r="K113" s="106" t="s">
        <v>707</v>
      </c>
      <c r="L113" s="106" t="s">
        <v>1150</v>
      </c>
      <c r="N113" s="91">
        <f t="shared" si="4"/>
        <v>1</v>
      </c>
      <c r="O113" s="79" t="s">
        <v>1067</v>
      </c>
      <c r="P113" s="79" t="s">
        <v>1067</v>
      </c>
      <c r="Q113" s="79" t="s">
        <v>1066</v>
      </c>
      <c r="R113" s="79" t="s">
        <v>2772</v>
      </c>
      <c r="S113" s="79" t="s">
        <v>2803</v>
      </c>
      <c r="T113" s="79" t="s">
        <v>1068</v>
      </c>
      <c r="U113" s="79" t="s">
        <v>1069</v>
      </c>
      <c r="V113" s="79" t="s">
        <v>707</v>
      </c>
      <c r="W113" s="79" t="s">
        <v>1070</v>
      </c>
      <c r="Y113" s="79" t="s">
        <v>1066</v>
      </c>
    </row>
    <row r="114" spans="2:25" ht="12.75" customHeight="1" x14ac:dyDescent="0.2">
      <c r="B114" s="106" t="s">
        <v>1067</v>
      </c>
      <c r="C114" s="106" t="s">
        <v>1067</v>
      </c>
      <c r="D114" s="106" t="s">
        <v>1066</v>
      </c>
      <c r="E114" s="107" t="str">
        <f t="shared" si="3"/>
        <v>GENOA, OH, 43430</v>
      </c>
      <c r="F114" s="106" t="s">
        <v>1066</v>
      </c>
      <c r="G114" s="106" t="s">
        <v>1068</v>
      </c>
      <c r="H114" s="106" t="s">
        <v>2772</v>
      </c>
      <c r="I114" s="106" t="s">
        <v>2803</v>
      </c>
      <c r="J114" s="106" t="s">
        <v>1069</v>
      </c>
      <c r="K114" s="106" t="s">
        <v>707</v>
      </c>
      <c r="L114" s="106" t="s">
        <v>1070</v>
      </c>
      <c r="N114" s="91">
        <f t="shared" si="4"/>
        <v>1</v>
      </c>
      <c r="O114" s="79" t="s">
        <v>704</v>
      </c>
      <c r="P114" s="79" t="s">
        <v>704</v>
      </c>
      <c r="Q114" s="79" t="s">
        <v>703</v>
      </c>
      <c r="R114" s="79" t="s">
        <v>2804</v>
      </c>
      <c r="S114" s="79" t="s">
        <v>2805</v>
      </c>
      <c r="T114" s="79" t="s">
        <v>705</v>
      </c>
      <c r="U114" s="79" t="s">
        <v>706</v>
      </c>
      <c r="V114" s="79" t="s">
        <v>707</v>
      </c>
      <c r="W114" s="79" t="s">
        <v>708</v>
      </c>
      <c r="Y114" s="79" t="s">
        <v>703</v>
      </c>
    </row>
    <row r="115" spans="2:25" ht="12.75" customHeight="1" x14ac:dyDescent="0.2">
      <c r="B115" s="106" t="s">
        <v>3069</v>
      </c>
      <c r="C115" s="106" t="s">
        <v>3069</v>
      </c>
      <c r="D115" s="106" t="s">
        <v>3070</v>
      </c>
      <c r="E115" s="107" t="str">
        <f t="shared" si="3"/>
        <v>SYLVANIA, OH, 43560</v>
      </c>
      <c r="F115" s="106" t="s">
        <v>3070</v>
      </c>
      <c r="G115" s="106" t="s">
        <v>3071</v>
      </c>
      <c r="H115" s="106" t="s">
        <v>2772</v>
      </c>
      <c r="I115" s="106" t="s">
        <v>2788</v>
      </c>
      <c r="J115" s="106" t="s">
        <v>1033</v>
      </c>
      <c r="K115" s="106" t="s">
        <v>707</v>
      </c>
      <c r="L115" s="106" t="s">
        <v>1034</v>
      </c>
      <c r="N115" s="91">
        <f t="shared" si="4"/>
        <v>1</v>
      </c>
      <c r="O115" s="79" t="s">
        <v>1096</v>
      </c>
      <c r="P115" s="79" t="s">
        <v>1096</v>
      </c>
      <c r="Q115" s="79" t="s">
        <v>1095</v>
      </c>
      <c r="R115" s="79" t="s">
        <v>2772</v>
      </c>
      <c r="S115" s="79" t="s">
        <v>2764</v>
      </c>
      <c r="T115" s="79" t="s">
        <v>1097</v>
      </c>
      <c r="U115" s="79" t="s">
        <v>1098</v>
      </c>
      <c r="V115" s="79" t="s">
        <v>1075</v>
      </c>
      <c r="W115" s="79" t="s">
        <v>1099</v>
      </c>
      <c r="Y115" s="79" t="s">
        <v>1095</v>
      </c>
    </row>
    <row r="116" spans="2:25" ht="12.75" customHeight="1" x14ac:dyDescent="0.2">
      <c r="B116" s="106" t="s">
        <v>704</v>
      </c>
      <c r="C116" s="106" t="s">
        <v>704</v>
      </c>
      <c r="D116" s="106" t="s">
        <v>703</v>
      </c>
      <c r="E116" s="107" t="str">
        <f t="shared" si="3"/>
        <v>BLUFFTON, OH, 45817</v>
      </c>
      <c r="F116" s="106" t="s">
        <v>703</v>
      </c>
      <c r="G116" s="106" t="s">
        <v>705</v>
      </c>
      <c r="H116" s="106" t="s">
        <v>2804</v>
      </c>
      <c r="I116" s="106" t="s">
        <v>2805</v>
      </c>
      <c r="J116" s="106" t="s">
        <v>706</v>
      </c>
      <c r="K116" s="106" t="s">
        <v>707</v>
      </c>
      <c r="L116" s="106" t="s">
        <v>708</v>
      </c>
      <c r="N116" s="91">
        <f t="shared" si="4"/>
        <v>1</v>
      </c>
      <c r="O116" s="79" t="s">
        <v>1036</v>
      </c>
      <c r="P116" s="79" t="s">
        <v>1036</v>
      </c>
      <c r="Q116" s="79" t="s">
        <v>1035</v>
      </c>
      <c r="R116" s="79" t="s">
        <v>2772</v>
      </c>
      <c r="S116" s="79" t="s">
        <v>2806</v>
      </c>
      <c r="T116" s="79" t="s">
        <v>1037</v>
      </c>
      <c r="U116" s="79" t="s">
        <v>1038</v>
      </c>
      <c r="V116" s="79" t="s">
        <v>707</v>
      </c>
      <c r="W116" s="79" t="s">
        <v>1039</v>
      </c>
      <c r="Y116" s="79" t="s">
        <v>1035</v>
      </c>
    </row>
    <row r="117" spans="2:25" ht="12.75" customHeight="1" x14ac:dyDescent="0.2">
      <c r="B117" s="106" t="s">
        <v>1096</v>
      </c>
      <c r="C117" s="106" t="s">
        <v>1096</v>
      </c>
      <c r="D117" s="106" t="s">
        <v>1095</v>
      </c>
      <c r="E117" s="107" t="str">
        <f t="shared" si="3"/>
        <v>CLINTON, MI, 49236</v>
      </c>
      <c r="F117" s="106" t="s">
        <v>1095</v>
      </c>
      <c r="G117" s="106" t="s">
        <v>1097</v>
      </c>
      <c r="H117" s="106" t="s">
        <v>2772</v>
      </c>
      <c r="I117" s="106" t="s">
        <v>2764</v>
      </c>
      <c r="J117" s="106" t="s">
        <v>1098</v>
      </c>
      <c r="K117" s="106" t="s">
        <v>1075</v>
      </c>
      <c r="L117" s="106" t="s">
        <v>1099</v>
      </c>
      <c r="N117" s="91">
        <f t="shared" si="4"/>
        <v>2</v>
      </c>
      <c r="O117" s="79" t="s">
        <v>1036</v>
      </c>
      <c r="P117" s="79" t="s">
        <v>1036</v>
      </c>
      <c r="Q117" s="79" t="s">
        <v>2587</v>
      </c>
      <c r="R117" s="79" t="s">
        <v>2772</v>
      </c>
      <c r="S117" s="79" t="s">
        <v>2806</v>
      </c>
      <c r="T117" s="79" t="s">
        <v>1037</v>
      </c>
      <c r="U117" s="79" t="s">
        <v>1038</v>
      </c>
      <c r="V117" s="79" t="s">
        <v>707</v>
      </c>
      <c r="W117" s="79" t="s">
        <v>1039</v>
      </c>
      <c r="Y117" s="79" t="s">
        <v>2587</v>
      </c>
    </row>
    <row r="118" spans="2:25" ht="12.75" customHeight="1" x14ac:dyDescent="0.2">
      <c r="B118" s="106" t="s">
        <v>1036</v>
      </c>
      <c r="C118" s="106" t="s">
        <v>1036</v>
      </c>
      <c r="D118" s="106" t="s">
        <v>1035</v>
      </c>
      <c r="E118" s="107" t="str">
        <f t="shared" si="3"/>
        <v>CUSTAR, OH, 43511</v>
      </c>
      <c r="F118" s="106" t="s">
        <v>1035</v>
      </c>
      <c r="G118" s="106" t="s">
        <v>1037</v>
      </c>
      <c r="H118" s="106" t="s">
        <v>2772</v>
      </c>
      <c r="I118" s="106" t="s">
        <v>2806</v>
      </c>
      <c r="J118" s="106" t="s">
        <v>1038</v>
      </c>
      <c r="K118" s="106" t="s">
        <v>707</v>
      </c>
      <c r="L118" s="106" t="s">
        <v>1039</v>
      </c>
      <c r="N118" s="91">
        <f t="shared" si="4"/>
        <v>1</v>
      </c>
      <c r="O118" s="79" t="s">
        <v>2589</v>
      </c>
      <c r="P118" s="79" t="s">
        <v>2589</v>
      </c>
      <c r="Q118" s="79" t="s">
        <v>2588</v>
      </c>
      <c r="R118" s="79" t="s">
        <v>2772</v>
      </c>
      <c r="S118" s="79" t="s">
        <v>2807</v>
      </c>
      <c r="T118" s="79" t="s">
        <v>1163</v>
      </c>
      <c r="U118" s="79" t="s">
        <v>1164</v>
      </c>
      <c r="V118" s="79" t="s">
        <v>707</v>
      </c>
      <c r="W118" s="79" t="s">
        <v>1165</v>
      </c>
      <c r="Y118" s="79" t="s">
        <v>2588</v>
      </c>
    </row>
    <row r="119" spans="2:25" ht="12.75" customHeight="1" x14ac:dyDescent="0.2">
      <c r="B119" s="106" t="s">
        <v>1036</v>
      </c>
      <c r="C119" s="106" t="s">
        <v>1036</v>
      </c>
      <c r="D119" s="106" t="s">
        <v>2587</v>
      </c>
      <c r="E119" s="107" t="str">
        <f t="shared" si="3"/>
        <v>CUSTAR, OH, 43511</v>
      </c>
      <c r="F119" s="106" t="s">
        <v>2587</v>
      </c>
      <c r="G119" s="106" t="s">
        <v>1037</v>
      </c>
      <c r="H119" s="106" t="s">
        <v>2772</v>
      </c>
      <c r="I119" s="106" t="s">
        <v>2806</v>
      </c>
      <c r="J119" s="106" t="s">
        <v>1038</v>
      </c>
      <c r="K119" s="106" t="s">
        <v>707</v>
      </c>
      <c r="L119" s="106" t="s">
        <v>1039</v>
      </c>
      <c r="N119" s="91">
        <f t="shared" si="4"/>
        <v>1</v>
      </c>
      <c r="O119" s="79" t="s">
        <v>1157</v>
      </c>
      <c r="P119" s="79" t="s">
        <v>1157</v>
      </c>
      <c r="Q119" s="79" t="s">
        <v>1156</v>
      </c>
      <c r="R119" s="79" t="s">
        <v>2772</v>
      </c>
      <c r="S119" s="79" t="s">
        <v>2808</v>
      </c>
      <c r="T119" s="79" t="s">
        <v>1158</v>
      </c>
      <c r="U119" s="79" t="s">
        <v>1159</v>
      </c>
      <c r="V119" s="79" t="s">
        <v>1075</v>
      </c>
      <c r="W119" s="79" t="s">
        <v>1160</v>
      </c>
      <c r="Y119" s="79" t="s">
        <v>1156</v>
      </c>
    </row>
    <row r="120" spans="2:25" ht="12.75" customHeight="1" x14ac:dyDescent="0.2">
      <c r="B120" s="106" t="s">
        <v>2589</v>
      </c>
      <c r="C120" s="106" t="s">
        <v>2589</v>
      </c>
      <c r="D120" s="106" t="s">
        <v>2588</v>
      </c>
      <c r="E120" s="107" t="str">
        <f t="shared" si="3"/>
        <v>PIONEER, OH, 43554</v>
      </c>
      <c r="F120" s="106" t="s">
        <v>2588</v>
      </c>
      <c r="G120" s="106" t="s">
        <v>1163</v>
      </c>
      <c r="H120" s="106" t="s">
        <v>2772</v>
      </c>
      <c r="I120" s="106" t="s">
        <v>2807</v>
      </c>
      <c r="J120" s="106" t="s">
        <v>1164</v>
      </c>
      <c r="K120" s="106" t="s">
        <v>707</v>
      </c>
      <c r="L120" s="106" t="s">
        <v>1165</v>
      </c>
      <c r="N120" s="91">
        <f t="shared" si="4"/>
        <v>2</v>
      </c>
      <c r="O120" s="79" t="s">
        <v>1157</v>
      </c>
      <c r="P120" s="79" t="s">
        <v>1157</v>
      </c>
      <c r="Q120" s="79" t="s">
        <v>2597</v>
      </c>
      <c r="R120" s="79" t="s">
        <v>2772</v>
      </c>
      <c r="S120" s="79" t="s">
        <v>2808</v>
      </c>
      <c r="T120" s="79" t="s">
        <v>1158</v>
      </c>
      <c r="U120" s="79" t="s">
        <v>1159</v>
      </c>
      <c r="V120" s="79" t="s">
        <v>1075</v>
      </c>
      <c r="W120" s="79" t="s">
        <v>1160</v>
      </c>
      <c r="Y120" s="79" t="s">
        <v>2597</v>
      </c>
    </row>
    <row r="121" spans="2:25" ht="12.75" customHeight="1" x14ac:dyDescent="0.2">
      <c r="B121" s="106" t="s">
        <v>1157</v>
      </c>
      <c r="C121" s="106" t="s">
        <v>1157</v>
      </c>
      <c r="D121" s="106" t="s">
        <v>1156</v>
      </c>
      <c r="E121" s="107" t="str">
        <f t="shared" si="3"/>
        <v>JONESVILLE, MI, 49250</v>
      </c>
      <c r="F121" s="106" t="s">
        <v>1156</v>
      </c>
      <c r="G121" s="106" t="s">
        <v>1158</v>
      </c>
      <c r="H121" s="106" t="s">
        <v>2772</v>
      </c>
      <c r="I121" s="106" t="s">
        <v>2808</v>
      </c>
      <c r="J121" s="106" t="s">
        <v>1159</v>
      </c>
      <c r="K121" s="106" t="s">
        <v>1075</v>
      </c>
      <c r="L121" s="106" t="s">
        <v>1160</v>
      </c>
      <c r="N121" s="91">
        <f t="shared" si="4"/>
        <v>1</v>
      </c>
      <c r="O121" s="79" t="s">
        <v>1162</v>
      </c>
      <c r="P121" s="79" t="s">
        <v>1162</v>
      </c>
      <c r="Q121" s="79" t="s">
        <v>1161</v>
      </c>
      <c r="R121" s="79" t="s">
        <v>2772</v>
      </c>
      <c r="S121" s="79" t="s">
        <v>2807</v>
      </c>
      <c r="T121" s="79" t="s">
        <v>1163</v>
      </c>
      <c r="U121" s="79" t="s">
        <v>1164</v>
      </c>
      <c r="V121" s="79" t="s">
        <v>707</v>
      </c>
      <c r="W121" s="79" t="s">
        <v>1165</v>
      </c>
      <c r="Y121" s="79" t="s">
        <v>1161</v>
      </c>
    </row>
    <row r="122" spans="2:25" ht="12.75" customHeight="1" x14ac:dyDescent="0.2">
      <c r="B122" s="106" t="s">
        <v>1157</v>
      </c>
      <c r="C122" s="106" t="s">
        <v>1157</v>
      </c>
      <c r="D122" s="106" t="s">
        <v>2597</v>
      </c>
      <c r="E122" s="107" t="str">
        <f t="shared" si="3"/>
        <v>JONESVILLE, MI, 49250</v>
      </c>
      <c r="F122" s="106" t="s">
        <v>2597</v>
      </c>
      <c r="G122" s="106" t="s">
        <v>1158</v>
      </c>
      <c r="H122" s="106" t="s">
        <v>2772</v>
      </c>
      <c r="I122" s="106" t="s">
        <v>2808</v>
      </c>
      <c r="J122" s="106" t="s">
        <v>1159</v>
      </c>
      <c r="K122" s="106" t="s">
        <v>1075</v>
      </c>
      <c r="L122" s="106" t="s">
        <v>1160</v>
      </c>
      <c r="N122" s="91">
        <f t="shared" si="4"/>
        <v>2</v>
      </c>
      <c r="O122" s="79" t="s">
        <v>1162</v>
      </c>
      <c r="P122" s="79" t="s">
        <v>1162</v>
      </c>
      <c r="Q122" s="79" t="s">
        <v>2598</v>
      </c>
      <c r="R122" s="79" t="s">
        <v>2772</v>
      </c>
      <c r="S122" s="79" t="s">
        <v>2807</v>
      </c>
      <c r="T122" s="79" t="s">
        <v>1163</v>
      </c>
      <c r="U122" s="79" t="s">
        <v>1164</v>
      </c>
      <c r="V122" s="79" t="s">
        <v>707</v>
      </c>
      <c r="W122" s="79" t="s">
        <v>1165</v>
      </c>
      <c r="Y122" s="79" t="s">
        <v>2598</v>
      </c>
    </row>
    <row r="123" spans="2:25" ht="12.75" customHeight="1" x14ac:dyDescent="0.2">
      <c r="B123" s="106" t="s">
        <v>1162</v>
      </c>
      <c r="C123" s="106" t="s">
        <v>1162</v>
      </c>
      <c r="D123" s="106" t="s">
        <v>1161</v>
      </c>
      <c r="E123" s="107" t="str">
        <f t="shared" si="3"/>
        <v>PIONEER, OH, 43554</v>
      </c>
      <c r="F123" s="106" t="s">
        <v>1161</v>
      </c>
      <c r="G123" s="106" t="s">
        <v>1163</v>
      </c>
      <c r="H123" s="106" t="s">
        <v>2772</v>
      </c>
      <c r="I123" s="106" t="s">
        <v>2807</v>
      </c>
      <c r="J123" s="106" t="s">
        <v>1164</v>
      </c>
      <c r="K123" s="106" t="s">
        <v>707</v>
      </c>
      <c r="L123" s="106" t="s">
        <v>1165</v>
      </c>
      <c r="N123" s="91">
        <f t="shared" si="4"/>
        <v>1</v>
      </c>
      <c r="O123" s="79" t="s">
        <v>1072</v>
      </c>
      <c r="P123" s="79" t="s">
        <v>1072</v>
      </c>
      <c r="Q123" s="79" t="s">
        <v>1071</v>
      </c>
      <c r="R123" s="79" t="s">
        <v>2772</v>
      </c>
      <c r="S123" s="79" t="s">
        <v>2802</v>
      </c>
      <c r="T123" s="79" t="s">
        <v>1073</v>
      </c>
      <c r="U123" s="79" t="s">
        <v>1074</v>
      </c>
      <c r="V123" s="79" t="s">
        <v>1075</v>
      </c>
      <c r="W123" s="79" t="s">
        <v>1076</v>
      </c>
      <c r="Y123" s="79" t="s">
        <v>1071</v>
      </c>
    </row>
    <row r="124" spans="2:25" ht="12.75" customHeight="1" x14ac:dyDescent="0.2">
      <c r="B124" s="106" t="s">
        <v>1162</v>
      </c>
      <c r="C124" s="106" t="s">
        <v>1162</v>
      </c>
      <c r="D124" s="106" t="s">
        <v>2598</v>
      </c>
      <c r="E124" s="107" t="str">
        <f t="shared" si="3"/>
        <v>PIONEER, OH, 43554</v>
      </c>
      <c r="F124" s="106" t="s">
        <v>2598</v>
      </c>
      <c r="G124" s="106" t="s">
        <v>1163</v>
      </c>
      <c r="H124" s="106" t="s">
        <v>2772</v>
      </c>
      <c r="I124" s="106" t="s">
        <v>2807</v>
      </c>
      <c r="J124" s="106" t="s">
        <v>1164</v>
      </c>
      <c r="K124" s="106" t="s">
        <v>707</v>
      </c>
      <c r="L124" s="106" t="s">
        <v>1165</v>
      </c>
      <c r="N124" s="91">
        <f t="shared" si="4"/>
        <v>2</v>
      </c>
      <c r="O124" s="79" t="s">
        <v>1072</v>
      </c>
      <c r="P124" s="79" t="s">
        <v>1072</v>
      </c>
      <c r="Q124" s="79" t="s">
        <v>2593</v>
      </c>
      <c r="R124" s="79" t="s">
        <v>2772</v>
      </c>
      <c r="S124" s="79" t="s">
        <v>2802</v>
      </c>
      <c r="T124" s="79" t="s">
        <v>1073</v>
      </c>
      <c r="U124" s="79" t="s">
        <v>1074</v>
      </c>
      <c r="V124" s="79" t="s">
        <v>1075</v>
      </c>
      <c r="W124" s="79" t="s">
        <v>1076</v>
      </c>
      <c r="Y124" s="79" t="s">
        <v>2593</v>
      </c>
    </row>
    <row r="125" spans="2:25" ht="12.75" customHeight="1" x14ac:dyDescent="0.2">
      <c r="B125" s="106" t="s">
        <v>1072</v>
      </c>
      <c r="C125" s="106" t="s">
        <v>1072</v>
      </c>
      <c r="D125" s="106" t="s">
        <v>1071</v>
      </c>
      <c r="E125" s="107" t="str">
        <f t="shared" si="3"/>
        <v>WALDRON, MI, 49228</v>
      </c>
      <c r="F125" s="106" t="s">
        <v>1071</v>
      </c>
      <c r="G125" s="106" t="s">
        <v>1073</v>
      </c>
      <c r="H125" s="106" t="s">
        <v>2772</v>
      </c>
      <c r="I125" s="106" t="s">
        <v>2802</v>
      </c>
      <c r="J125" s="106" t="s">
        <v>1074</v>
      </c>
      <c r="K125" s="106" t="s">
        <v>1075</v>
      </c>
      <c r="L125" s="106" t="s">
        <v>1076</v>
      </c>
      <c r="N125" s="91">
        <f t="shared" si="4"/>
        <v>1</v>
      </c>
      <c r="O125" s="79" t="s">
        <v>1078</v>
      </c>
      <c r="P125" s="79" t="s">
        <v>1078</v>
      </c>
      <c r="Q125" s="79" t="s">
        <v>1077</v>
      </c>
      <c r="R125" s="79" t="s">
        <v>2772</v>
      </c>
      <c r="S125" s="79" t="s">
        <v>2808</v>
      </c>
      <c r="T125" s="79" t="s">
        <v>1079</v>
      </c>
      <c r="U125" s="79" t="s">
        <v>1080</v>
      </c>
      <c r="V125" s="79" t="s">
        <v>1075</v>
      </c>
      <c r="W125" s="79" t="s">
        <v>1081</v>
      </c>
      <c r="Y125" s="79" t="s">
        <v>1077</v>
      </c>
    </row>
    <row r="126" spans="2:25" ht="12.75" customHeight="1" x14ac:dyDescent="0.2">
      <c r="B126" s="106" t="s">
        <v>1072</v>
      </c>
      <c r="C126" s="106" t="s">
        <v>1072</v>
      </c>
      <c r="D126" s="106" t="s">
        <v>2593</v>
      </c>
      <c r="E126" s="107" t="str">
        <f t="shared" si="3"/>
        <v>WALDRON, MI, 49228</v>
      </c>
      <c r="F126" s="106" t="s">
        <v>2593</v>
      </c>
      <c r="G126" s="106" t="s">
        <v>1073</v>
      </c>
      <c r="H126" s="106" t="s">
        <v>2772</v>
      </c>
      <c r="I126" s="106" t="s">
        <v>2802</v>
      </c>
      <c r="J126" s="106" t="s">
        <v>1074</v>
      </c>
      <c r="K126" s="106" t="s">
        <v>1075</v>
      </c>
      <c r="L126" s="106" t="s">
        <v>1076</v>
      </c>
      <c r="N126" s="91">
        <f t="shared" si="4"/>
        <v>2</v>
      </c>
      <c r="O126" s="79" t="s">
        <v>1078</v>
      </c>
      <c r="P126" s="79" t="s">
        <v>1078</v>
      </c>
      <c r="Q126" s="79" t="s">
        <v>2594</v>
      </c>
      <c r="R126" s="79" t="s">
        <v>2772</v>
      </c>
      <c r="S126" s="79" t="s">
        <v>2764</v>
      </c>
      <c r="T126" s="79" t="s">
        <v>1079</v>
      </c>
      <c r="U126" s="79" t="s">
        <v>1080</v>
      </c>
      <c r="V126" s="79" t="s">
        <v>1075</v>
      </c>
      <c r="W126" s="79" t="s">
        <v>1081</v>
      </c>
      <c r="Y126" s="79" t="s">
        <v>2594</v>
      </c>
    </row>
    <row r="127" spans="2:25" ht="12.75" customHeight="1" x14ac:dyDescent="0.2">
      <c r="B127" s="106" t="s">
        <v>1078</v>
      </c>
      <c r="C127" s="106" t="s">
        <v>1078</v>
      </c>
      <c r="D127" s="106" t="s">
        <v>1077</v>
      </c>
      <c r="E127" s="107" t="str">
        <f t="shared" si="3"/>
        <v>ADDISON, MI, 49220</v>
      </c>
      <c r="F127" s="106" t="s">
        <v>1077</v>
      </c>
      <c r="G127" s="106" t="s">
        <v>1079</v>
      </c>
      <c r="H127" s="106" t="s">
        <v>2772</v>
      </c>
      <c r="I127" s="106" t="s">
        <v>2808</v>
      </c>
      <c r="J127" s="106" t="s">
        <v>1080</v>
      </c>
      <c r="K127" s="106" t="s">
        <v>1075</v>
      </c>
      <c r="L127" s="106" t="s">
        <v>1081</v>
      </c>
      <c r="N127" s="91">
        <f t="shared" si="4"/>
        <v>1</v>
      </c>
      <c r="O127" s="79" t="s">
        <v>1170</v>
      </c>
      <c r="P127" s="79" t="s">
        <v>1170</v>
      </c>
      <c r="Q127" s="79" t="s">
        <v>1169</v>
      </c>
      <c r="R127" s="79" t="s">
        <v>2772</v>
      </c>
      <c r="S127" s="79" t="s">
        <v>2764</v>
      </c>
      <c r="T127" s="79" t="s">
        <v>1171</v>
      </c>
      <c r="U127" s="79" t="s">
        <v>1172</v>
      </c>
      <c r="V127" s="79" t="s">
        <v>1075</v>
      </c>
      <c r="W127" s="79" t="s">
        <v>1173</v>
      </c>
      <c r="Y127" s="79" t="s">
        <v>1169</v>
      </c>
    </row>
    <row r="128" spans="2:25" ht="12.75" customHeight="1" x14ac:dyDescent="0.2">
      <c r="B128" s="106" t="s">
        <v>1078</v>
      </c>
      <c r="C128" s="106" t="s">
        <v>1078</v>
      </c>
      <c r="D128" s="106" t="s">
        <v>2594</v>
      </c>
      <c r="E128" s="107" t="str">
        <f t="shared" si="3"/>
        <v>ADDISON, MI, 49220</v>
      </c>
      <c r="F128" s="106" t="s">
        <v>2594</v>
      </c>
      <c r="G128" s="106" t="s">
        <v>1079</v>
      </c>
      <c r="H128" s="106" t="s">
        <v>2772</v>
      </c>
      <c r="I128" s="106" t="s">
        <v>2764</v>
      </c>
      <c r="J128" s="106" t="s">
        <v>1080</v>
      </c>
      <c r="K128" s="106" t="s">
        <v>1075</v>
      </c>
      <c r="L128" s="106" t="s">
        <v>1081</v>
      </c>
      <c r="N128" s="91">
        <f t="shared" si="4"/>
        <v>1</v>
      </c>
      <c r="O128" s="79" t="s">
        <v>1016</v>
      </c>
      <c r="P128" s="79" t="s">
        <v>1016</v>
      </c>
      <c r="Q128" s="79" t="s">
        <v>1015</v>
      </c>
      <c r="R128" s="79" t="s">
        <v>2772</v>
      </c>
      <c r="S128" s="79" t="s">
        <v>2806</v>
      </c>
      <c r="T128" s="79" t="s">
        <v>1017</v>
      </c>
      <c r="U128" s="79" t="s">
        <v>1018</v>
      </c>
      <c r="V128" s="79" t="s">
        <v>707</v>
      </c>
      <c r="W128" s="79" t="s">
        <v>1019</v>
      </c>
      <c r="Y128" s="79" t="s">
        <v>1015</v>
      </c>
    </row>
    <row r="129" spans="2:25" ht="12.75" customHeight="1" x14ac:dyDescent="0.2">
      <c r="B129" s="106" t="s">
        <v>1170</v>
      </c>
      <c r="C129" s="106" t="s">
        <v>1170</v>
      </c>
      <c r="D129" s="106" t="s">
        <v>1169</v>
      </c>
      <c r="E129" s="107" t="str">
        <f t="shared" si="3"/>
        <v>TECUMSEH, MI, 49286</v>
      </c>
      <c r="F129" s="106" t="s">
        <v>1169</v>
      </c>
      <c r="G129" s="106" t="s">
        <v>1171</v>
      </c>
      <c r="H129" s="106" t="s">
        <v>2772</v>
      </c>
      <c r="I129" s="106" t="s">
        <v>2764</v>
      </c>
      <c r="J129" s="106" t="s">
        <v>1172</v>
      </c>
      <c r="K129" s="106" t="s">
        <v>1075</v>
      </c>
      <c r="L129" s="106" t="s">
        <v>1173</v>
      </c>
      <c r="N129" s="91">
        <f t="shared" si="4"/>
        <v>2</v>
      </c>
      <c r="O129" s="79" t="s">
        <v>1016</v>
      </c>
      <c r="P129" s="79" t="s">
        <v>1016</v>
      </c>
      <c r="Q129" s="79" t="s">
        <v>2584</v>
      </c>
      <c r="R129" s="79" t="s">
        <v>2772</v>
      </c>
      <c r="S129" s="79" t="s">
        <v>2806</v>
      </c>
      <c r="T129" s="79" t="s">
        <v>2585</v>
      </c>
      <c r="U129" s="79" t="s">
        <v>1018</v>
      </c>
      <c r="V129" s="79" t="s">
        <v>707</v>
      </c>
      <c r="W129" s="79" t="s">
        <v>1019</v>
      </c>
      <c r="Y129" s="79" t="s">
        <v>2584</v>
      </c>
    </row>
    <row r="130" spans="2:25" ht="12.75" customHeight="1" x14ac:dyDescent="0.2">
      <c r="B130" s="106" t="s">
        <v>3072</v>
      </c>
      <c r="C130" s="106" t="s">
        <v>3072</v>
      </c>
      <c r="D130" s="106" t="s">
        <v>3073</v>
      </c>
      <c r="E130" s="107" t="str">
        <f t="shared" ref="E130:E193" si="5">CONCATENATE(J130,", ",K130,", ",L130)</f>
        <v>SYLVANIA, OH, 43560</v>
      </c>
      <c r="F130" s="106" t="s">
        <v>3073</v>
      </c>
      <c r="G130" s="106" t="s">
        <v>3071</v>
      </c>
      <c r="H130" s="106" t="s">
        <v>2772</v>
      </c>
      <c r="I130" s="106" t="s">
        <v>2802</v>
      </c>
      <c r="J130" s="106" t="s">
        <v>1033</v>
      </c>
      <c r="K130" s="106" t="s">
        <v>707</v>
      </c>
      <c r="L130" s="106" t="s">
        <v>1034</v>
      </c>
      <c r="N130" s="91">
        <f t="shared" si="4"/>
        <v>1</v>
      </c>
      <c r="O130" s="79" t="s">
        <v>2307</v>
      </c>
      <c r="P130" s="79" t="s">
        <v>2307</v>
      </c>
      <c r="Q130" s="79" t="s">
        <v>2306</v>
      </c>
      <c r="R130" s="79" t="s">
        <v>2791</v>
      </c>
      <c r="S130" s="79" t="s">
        <v>2764</v>
      </c>
      <c r="T130" s="79" t="s">
        <v>2308</v>
      </c>
      <c r="U130" s="79" t="s">
        <v>2309</v>
      </c>
      <c r="V130" s="79" t="s">
        <v>707</v>
      </c>
      <c r="W130" s="79" t="s">
        <v>2310</v>
      </c>
      <c r="Y130" s="79" t="s">
        <v>2306</v>
      </c>
    </row>
    <row r="131" spans="2:25" ht="12.75" customHeight="1" x14ac:dyDescent="0.2">
      <c r="B131" s="106" t="s">
        <v>1016</v>
      </c>
      <c r="C131" s="106" t="s">
        <v>1016</v>
      </c>
      <c r="D131" s="106" t="s">
        <v>1015</v>
      </c>
      <c r="E131" s="107" t="str">
        <f t="shared" si="5"/>
        <v>WEST MILLGROVE, OH, 43467</v>
      </c>
      <c r="F131" s="106" t="s">
        <v>1015</v>
      </c>
      <c r="G131" s="106" t="s">
        <v>1017</v>
      </c>
      <c r="H131" s="106" t="s">
        <v>2772</v>
      </c>
      <c r="I131" s="106" t="s">
        <v>2806</v>
      </c>
      <c r="J131" s="106" t="s">
        <v>1018</v>
      </c>
      <c r="K131" s="106" t="s">
        <v>707</v>
      </c>
      <c r="L131" s="106" t="s">
        <v>1019</v>
      </c>
      <c r="N131" s="91">
        <f t="shared" si="4"/>
        <v>1</v>
      </c>
      <c r="O131" s="79" t="s">
        <v>2302</v>
      </c>
      <c r="P131" s="79" t="s">
        <v>2302</v>
      </c>
      <c r="Q131" s="79" t="s">
        <v>2301</v>
      </c>
      <c r="R131" s="79" t="s">
        <v>2791</v>
      </c>
      <c r="S131" s="79" t="s">
        <v>2809</v>
      </c>
      <c r="T131" s="79" t="s">
        <v>2303</v>
      </c>
      <c r="U131" s="79" t="s">
        <v>2304</v>
      </c>
      <c r="V131" s="79" t="s">
        <v>707</v>
      </c>
      <c r="W131" s="79" t="s">
        <v>2305</v>
      </c>
      <c r="Y131" s="79" t="s">
        <v>2301</v>
      </c>
    </row>
    <row r="132" spans="2:25" ht="12.75" customHeight="1" x14ac:dyDescent="0.2">
      <c r="B132" s="106" t="s">
        <v>1016</v>
      </c>
      <c r="C132" s="106" t="s">
        <v>1016</v>
      </c>
      <c r="D132" s="106" t="s">
        <v>2584</v>
      </c>
      <c r="E132" s="107" t="str">
        <f t="shared" si="5"/>
        <v>WEST MILLGROVE, OH, 43467</v>
      </c>
      <c r="F132" s="106" t="s">
        <v>2584</v>
      </c>
      <c r="G132" s="106" t="s">
        <v>2585</v>
      </c>
      <c r="H132" s="106" t="s">
        <v>2772</v>
      </c>
      <c r="I132" s="106" t="s">
        <v>2806</v>
      </c>
      <c r="J132" s="106" t="s">
        <v>1018</v>
      </c>
      <c r="K132" s="106" t="s">
        <v>707</v>
      </c>
      <c r="L132" s="106" t="s">
        <v>1019</v>
      </c>
      <c r="N132" s="91">
        <f t="shared" si="4"/>
        <v>1</v>
      </c>
      <c r="O132" s="79" t="s">
        <v>2419</v>
      </c>
      <c r="P132" s="79" t="s">
        <v>2419</v>
      </c>
      <c r="Q132" s="79" t="s">
        <v>2418</v>
      </c>
      <c r="R132" s="79" t="s">
        <v>2791</v>
      </c>
      <c r="S132" s="79" t="s">
        <v>2765</v>
      </c>
      <c r="T132" s="79" t="s">
        <v>2420</v>
      </c>
      <c r="U132" s="79" t="s">
        <v>2421</v>
      </c>
      <c r="V132" s="79" t="s">
        <v>898</v>
      </c>
      <c r="W132" s="79" t="s">
        <v>2422</v>
      </c>
      <c r="Y132" s="79" t="s">
        <v>2418</v>
      </c>
    </row>
    <row r="133" spans="2:25" ht="12.75" customHeight="1" x14ac:dyDescent="0.2">
      <c r="B133" s="106" t="s">
        <v>3063</v>
      </c>
      <c r="C133" s="106" t="s">
        <v>3063</v>
      </c>
      <c r="D133" s="106" t="s">
        <v>3064</v>
      </c>
      <c r="E133" s="107" t="str">
        <f t="shared" si="5"/>
        <v>STONY RIDGE, OH, 43463</v>
      </c>
      <c r="F133" s="106" t="s">
        <v>3064</v>
      </c>
      <c r="G133" s="106" t="s">
        <v>3065</v>
      </c>
      <c r="H133" s="106" t="s">
        <v>2772</v>
      </c>
      <c r="I133" s="106" t="s">
        <v>3066</v>
      </c>
      <c r="J133" s="106" t="s">
        <v>3067</v>
      </c>
      <c r="K133" s="106" t="s">
        <v>707</v>
      </c>
      <c r="L133" s="106" t="s">
        <v>3068</v>
      </c>
      <c r="N133" s="91">
        <f t="shared" si="4"/>
        <v>1</v>
      </c>
      <c r="O133" s="79" t="s">
        <v>1930</v>
      </c>
      <c r="P133" s="79" t="s">
        <v>1930</v>
      </c>
      <c r="Q133" s="79" t="s">
        <v>1929</v>
      </c>
      <c r="R133" s="79" t="s">
        <v>2782</v>
      </c>
      <c r="S133" s="79" t="s">
        <v>1920</v>
      </c>
      <c r="T133" s="79" t="s">
        <v>1931</v>
      </c>
      <c r="U133" s="79" t="s">
        <v>1932</v>
      </c>
      <c r="V133" s="79" t="s">
        <v>1489</v>
      </c>
      <c r="W133" s="79" t="s">
        <v>1933</v>
      </c>
      <c r="Y133" s="79" t="s">
        <v>1929</v>
      </c>
    </row>
    <row r="134" spans="2:25" ht="12.75" customHeight="1" x14ac:dyDescent="0.2">
      <c r="B134" s="106" t="s">
        <v>2302</v>
      </c>
      <c r="C134" s="106" t="s">
        <v>2302</v>
      </c>
      <c r="D134" s="106" t="s">
        <v>2301</v>
      </c>
      <c r="E134" s="107" t="str">
        <f t="shared" si="5"/>
        <v>BETHESDA, OH, 43719</v>
      </c>
      <c r="F134" s="106" t="s">
        <v>2301</v>
      </c>
      <c r="G134" s="106" t="s">
        <v>2303</v>
      </c>
      <c r="H134" s="106" t="s">
        <v>2791</v>
      </c>
      <c r="I134" s="106" t="s">
        <v>2809</v>
      </c>
      <c r="J134" s="106" t="s">
        <v>2304</v>
      </c>
      <c r="K134" s="106" t="s">
        <v>707</v>
      </c>
      <c r="L134" s="106" t="s">
        <v>2305</v>
      </c>
      <c r="N134" s="91">
        <f t="shared" si="4"/>
        <v>1</v>
      </c>
      <c r="O134" s="79" t="s">
        <v>1935</v>
      </c>
      <c r="P134" s="79" t="s">
        <v>1935</v>
      </c>
      <c r="Q134" s="79" t="s">
        <v>1934</v>
      </c>
      <c r="R134" s="79" t="s">
        <v>2782</v>
      </c>
      <c r="S134" s="79" t="s">
        <v>2792</v>
      </c>
      <c r="T134" s="79" t="s">
        <v>909</v>
      </c>
      <c r="U134" s="79" t="s">
        <v>910</v>
      </c>
      <c r="V134" s="79" t="s">
        <v>707</v>
      </c>
      <c r="W134" s="79" t="s">
        <v>911</v>
      </c>
      <c r="Y134" s="79" t="s">
        <v>1934</v>
      </c>
    </row>
    <row r="135" spans="2:25" ht="12.75" customHeight="1" x14ac:dyDescent="0.2">
      <c r="B135" s="106" t="s">
        <v>1930</v>
      </c>
      <c r="C135" s="106" t="s">
        <v>1930</v>
      </c>
      <c r="D135" s="106" t="s">
        <v>1929</v>
      </c>
      <c r="E135" s="107" t="str">
        <f t="shared" si="5"/>
        <v>WILLIAMSTOWN, WV, 26187</v>
      </c>
      <c r="F135" s="106" t="s">
        <v>1929</v>
      </c>
      <c r="G135" s="106" t="s">
        <v>1931</v>
      </c>
      <c r="H135" s="106" t="s">
        <v>2782</v>
      </c>
      <c r="I135" s="106" t="s">
        <v>1920</v>
      </c>
      <c r="J135" s="106" t="s">
        <v>1932</v>
      </c>
      <c r="K135" s="106" t="s">
        <v>1489</v>
      </c>
      <c r="L135" s="106" t="s">
        <v>1933</v>
      </c>
      <c r="N135" s="91">
        <f t="shared" si="4"/>
        <v>1</v>
      </c>
      <c r="O135" s="79" t="s">
        <v>1937</v>
      </c>
      <c r="P135" s="79" t="s">
        <v>1937</v>
      </c>
      <c r="Q135" s="79" t="s">
        <v>1936</v>
      </c>
      <c r="R135" s="79" t="s">
        <v>2782</v>
      </c>
      <c r="S135" s="79" t="s">
        <v>2784</v>
      </c>
      <c r="T135" s="79" t="s">
        <v>1926</v>
      </c>
      <c r="U135" s="79" t="s">
        <v>1927</v>
      </c>
      <c r="V135" s="79" t="s">
        <v>707</v>
      </c>
      <c r="W135" s="79" t="s">
        <v>1928</v>
      </c>
      <c r="Y135" s="79" t="s">
        <v>1936</v>
      </c>
    </row>
    <row r="136" spans="2:25" ht="12.75" customHeight="1" x14ac:dyDescent="0.2">
      <c r="B136" s="106" t="s">
        <v>1935</v>
      </c>
      <c r="C136" s="106" t="s">
        <v>1935</v>
      </c>
      <c r="D136" s="106" t="s">
        <v>1934</v>
      </c>
      <c r="E136" s="107" t="str">
        <f t="shared" si="5"/>
        <v>SARDIS, OH, 43946</v>
      </c>
      <c r="F136" s="106" t="s">
        <v>1934</v>
      </c>
      <c r="G136" s="106" t="s">
        <v>909</v>
      </c>
      <c r="H136" s="106" t="s">
        <v>2782</v>
      </c>
      <c r="I136" s="106" t="s">
        <v>2792</v>
      </c>
      <c r="J136" s="106" t="s">
        <v>910</v>
      </c>
      <c r="K136" s="106" t="s">
        <v>707</v>
      </c>
      <c r="L136" s="106" t="s">
        <v>911</v>
      </c>
      <c r="N136" s="91">
        <f t="shared" si="4"/>
        <v>1</v>
      </c>
      <c r="O136" s="79" t="s">
        <v>2008</v>
      </c>
      <c r="P136" s="79" t="s">
        <v>2008</v>
      </c>
      <c r="Q136" s="79" t="s">
        <v>2007</v>
      </c>
      <c r="R136" s="79" t="s">
        <v>2770</v>
      </c>
      <c r="S136" s="79" t="s">
        <v>2789</v>
      </c>
      <c r="T136" s="79" t="s">
        <v>2009</v>
      </c>
      <c r="U136" s="79" t="s">
        <v>1144</v>
      </c>
      <c r="V136" s="79" t="s">
        <v>707</v>
      </c>
      <c r="W136" s="79" t="s">
        <v>1834</v>
      </c>
      <c r="Y136" s="79" t="s">
        <v>2007</v>
      </c>
    </row>
    <row r="137" spans="2:25" ht="12.75" customHeight="1" x14ac:dyDescent="0.2">
      <c r="B137" s="106" t="s">
        <v>1937</v>
      </c>
      <c r="C137" s="106" t="s">
        <v>1937</v>
      </c>
      <c r="D137" s="106" t="s">
        <v>1936</v>
      </c>
      <c r="E137" s="107" t="str">
        <f t="shared" si="5"/>
        <v>NEW MATAMORAS, OH, 45767</v>
      </c>
      <c r="F137" s="106" t="s">
        <v>1936</v>
      </c>
      <c r="G137" s="106" t="s">
        <v>1926</v>
      </c>
      <c r="H137" s="106" t="s">
        <v>2782</v>
      </c>
      <c r="I137" s="106" t="s">
        <v>2784</v>
      </c>
      <c r="J137" s="106" t="s">
        <v>1927</v>
      </c>
      <c r="K137" s="106" t="s">
        <v>707</v>
      </c>
      <c r="L137" s="106" t="s">
        <v>1928</v>
      </c>
      <c r="N137" s="91">
        <f t="shared" si="4"/>
        <v>1</v>
      </c>
      <c r="O137" s="79" t="s">
        <v>2006</v>
      </c>
      <c r="P137" s="79" t="s">
        <v>2006</v>
      </c>
      <c r="Q137" s="79" t="s">
        <v>2005</v>
      </c>
      <c r="R137" s="79" t="s">
        <v>2770</v>
      </c>
      <c r="S137" s="79" t="s">
        <v>2789</v>
      </c>
      <c r="T137" s="79" t="s">
        <v>1830</v>
      </c>
      <c r="U137" s="79" t="s">
        <v>1144</v>
      </c>
      <c r="V137" s="79" t="s">
        <v>707</v>
      </c>
      <c r="W137" s="79" t="s">
        <v>865</v>
      </c>
      <c r="Y137" s="79" t="s">
        <v>2005</v>
      </c>
    </row>
    <row r="138" spans="2:25" ht="12.75" customHeight="1" x14ac:dyDescent="0.2">
      <c r="B138" s="106" t="s">
        <v>2008</v>
      </c>
      <c r="C138" s="106" t="s">
        <v>2008</v>
      </c>
      <c r="D138" s="106" t="s">
        <v>2007</v>
      </c>
      <c r="E138" s="107" t="str">
        <f t="shared" si="5"/>
        <v>CINCINNATI, OH, 45202</v>
      </c>
      <c r="F138" s="106" t="s">
        <v>2007</v>
      </c>
      <c r="G138" s="106" t="s">
        <v>2009</v>
      </c>
      <c r="H138" s="106" t="s">
        <v>2770</v>
      </c>
      <c r="I138" s="106" t="s">
        <v>2789</v>
      </c>
      <c r="J138" s="106" t="s">
        <v>1144</v>
      </c>
      <c r="K138" s="106" t="s">
        <v>707</v>
      </c>
      <c r="L138" s="106" t="s">
        <v>1834</v>
      </c>
      <c r="N138" s="91">
        <f t="shared" si="4"/>
        <v>1</v>
      </c>
      <c r="O138" s="79" t="s">
        <v>2018</v>
      </c>
      <c r="P138" s="79" t="s">
        <v>2018</v>
      </c>
      <c r="Q138" s="79" t="s">
        <v>2017</v>
      </c>
      <c r="R138" s="79" t="s">
        <v>2782</v>
      </c>
      <c r="S138" s="79" t="s">
        <v>2792</v>
      </c>
      <c r="T138" s="79" t="s">
        <v>909</v>
      </c>
      <c r="U138" s="79" t="s">
        <v>910</v>
      </c>
      <c r="V138" s="79" t="s">
        <v>707</v>
      </c>
      <c r="W138" s="79" t="s">
        <v>911</v>
      </c>
      <c r="Y138" s="79" t="s">
        <v>2017</v>
      </c>
    </row>
    <row r="139" spans="2:25" ht="12.75" customHeight="1" x14ac:dyDescent="0.2">
      <c r="B139" s="106" t="s">
        <v>2006</v>
      </c>
      <c r="C139" s="106" t="s">
        <v>2006</v>
      </c>
      <c r="D139" s="106" t="s">
        <v>2005</v>
      </c>
      <c r="E139" s="107" t="str">
        <f t="shared" si="5"/>
        <v>CINCINNATI, OH, 46797</v>
      </c>
      <c r="F139" s="106" t="s">
        <v>2005</v>
      </c>
      <c r="G139" s="106" t="s">
        <v>1830</v>
      </c>
      <c r="H139" s="106" t="s">
        <v>2770</v>
      </c>
      <c r="I139" s="106" t="s">
        <v>2789</v>
      </c>
      <c r="J139" s="106" t="s">
        <v>1144</v>
      </c>
      <c r="K139" s="106" t="s">
        <v>707</v>
      </c>
      <c r="L139" s="106" t="s">
        <v>865</v>
      </c>
      <c r="N139" s="91">
        <f t="shared" si="4"/>
        <v>1</v>
      </c>
      <c r="O139" s="79" t="s">
        <v>2016</v>
      </c>
      <c r="P139" s="79" t="s">
        <v>2016</v>
      </c>
      <c r="Q139" s="79" t="s">
        <v>2015</v>
      </c>
      <c r="R139" s="79" t="s">
        <v>2782</v>
      </c>
      <c r="S139" s="79" t="s">
        <v>1489</v>
      </c>
      <c r="T139" s="79" t="s">
        <v>1931</v>
      </c>
      <c r="U139" s="79" t="s">
        <v>1932</v>
      </c>
      <c r="V139" s="79" t="s">
        <v>1489</v>
      </c>
      <c r="W139" s="79" t="s">
        <v>1933</v>
      </c>
      <c r="Y139" s="79" t="s">
        <v>2015</v>
      </c>
    </row>
    <row r="140" spans="2:25" ht="12.75" customHeight="1" x14ac:dyDescent="0.2">
      <c r="B140" s="106" t="s">
        <v>2018</v>
      </c>
      <c r="C140" s="106" t="s">
        <v>2018</v>
      </c>
      <c r="D140" s="106" t="s">
        <v>2017</v>
      </c>
      <c r="E140" s="107" t="str">
        <f t="shared" si="5"/>
        <v>SARDIS, OH, 43946</v>
      </c>
      <c r="F140" s="106" t="s">
        <v>2017</v>
      </c>
      <c r="G140" s="106" t="s">
        <v>909</v>
      </c>
      <c r="H140" s="106" t="s">
        <v>2782</v>
      </c>
      <c r="I140" s="106" t="s">
        <v>2792</v>
      </c>
      <c r="J140" s="106" t="s">
        <v>910</v>
      </c>
      <c r="K140" s="106" t="s">
        <v>707</v>
      </c>
      <c r="L140" s="106" t="s">
        <v>911</v>
      </c>
      <c r="N140" s="91">
        <f t="shared" si="4"/>
        <v>1</v>
      </c>
      <c r="O140" s="79" t="s">
        <v>2011</v>
      </c>
      <c r="P140" s="79" t="s">
        <v>2011</v>
      </c>
      <c r="Q140" s="79" t="s">
        <v>2010</v>
      </c>
      <c r="R140" s="79" t="s">
        <v>2791</v>
      </c>
      <c r="S140" s="79" t="s">
        <v>2764</v>
      </c>
      <c r="T140" s="79" t="s">
        <v>2012</v>
      </c>
      <c r="U140" s="79" t="s">
        <v>2013</v>
      </c>
      <c r="V140" s="79" t="s">
        <v>1489</v>
      </c>
      <c r="W140" s="79" t="s">
        <v>2014</v>
      </c>
      <c r="Y140" s="79" t="s">
        <v>2010</v>
      </c>
    </row>
    <row r="141" spans="2:25" ht="12.75" customHeight="1" x14ac:dyDescent="0.2">
      <c r="B141" s="106" t="s">
        <v>2016</v>
      </c>
      <c r="C141" s="106" t="s">
        <v>2016</v>
      </c>
      <c r="D141" s="106" t="s">
        <v>2015</v>
      </c>
      <c r="E141" s="107" t="str">
        <f t="shared" si="5"/>
        <v>WILLIAMSTOWN, WV, 26187</v>
      </c>
      <c r="F141" s="106" t="s">
        <v>2015</v>
      </c>
      <c r="G141" s="106" t="s">
        <v>1931</v>
      </c>
      <c r="H141" s="106" t="s">
        <v>2782</v>
      </c>
      <c r="I141" s="106" t="s">
        <v>1489</v>
      </c>
      <c r="J141" s="106" t="s">
        <v>1932</v>
      </c>
      <c r="K141" s="106" t="s">
        <v>1489</v>
      </c>
      <c r="L141" s="106" t="s">
        <v>1933</v>
      </c>
      <c r="N141" s="91">
        <f t="shared" si="4"/>
        <v>1</v>
      </c>
      <c r="O141" s="79" t="s">
        <v>2044</v>
      </c>
      <c r="P141" s="79" t="s">
        <v>2044</v>
      </c>
      <c r="Q141" s="79" t="s">
        <v>2043</v>
      </c>
      <c r="R141" s="79" t="s">
        <v>2770</v>
      </c>
      <c r="S141" s="79" t="s">
        <v>2764</v>
      </c>
      <c r="T141" s="79" t="s">
        <v>2045</v>
      </c>
      <c r="U141" s="79" t="s">
        <v>1118</v>
      </c>
      <c r="V141" s="79" t="s">
        <v>1920</v>
      </c>
      <c r="W141" s="79" t="s">
        <v>2046</v>
      </c>
      <c r="Y141" s="79" t="s">
        <v>2043</v>
      </c>
    </row>
    <row r="142" spans="2:25" ht="12.75" customHeight="1" x14ac:dyDescent="0.2">
      <c r="B142" s="106" t="s">
        <v>2011</v>
      </c>
      <c r="C142" s="106" t="s">
        <v>2011</v>
      </c>
      <c r="D142" s="106" t="s">
        <v>2010</v>
      </c>
      <c r="E142" s="107" t="str">
        <f t="shared" si="5"/>
        <v>MOUNDSVILLE, WV, 26041</v>
      </c>
      <c r="F142" s="106" t="s">
        <v>2010</v>
      </c>
      <c r="G142" s="106" t="s">
        <v>2012</v>
      </c>
      <c r="H142" s="106" t="s">
        <v>2791</v>
      </c>
      <c r="I142" s="106" t="s">
        <v>2764</v>
      </c>
      <c r="J142" s="106" t="s">
        <v>2013</v>
      </c>
      <c r="K142" s="106" t="s">
        <v>1489</v>
      </c>
      <c r="L142" s="106" t="s">
        <v>2014</v>
      </c>
      <c r="N142" s="91">
        <f t="shared" si="4"/>
        <v>2</v>
      </c>
      <c r="O142" s="79" t="s">
        <v>2044</v>
      </c>
      <c r="P142" s="79" t="s">
        <v>2044</v>
      </c>
      <c r="Q142" s="79" t="s">
        <v>2719</v>
      </c>
      <c r="R142" s="79" t="s">
        <v>2770</v>
      </c>
      <c r="S142" s="79" t="s">
        <v>2764</v>
      </c>
      <c r="T142" s="79" t="s">
        <v>2045</v>
      </c>
      <c r="U142" s="79" t="s">
        <v>1118</v>
      </c>
      <c r="V142" s="79" t="s">
        <v>1920</v>
      </c>
      <c r="W142" s="79" t="s">
        <v>2046</v>
      </c>
      <c r="Y142" s="79" t="s">
        <v>2719</v>
      </c>
    </row>
    <row r="143" spans="2:25" ht="12.75" customHeight="1" x14ac:dyDescent="0.2">
      <c r="B143" s="106" t="s">
        <v>2044</v>
      </c>
      <c r="C143" s="106" t="s">
        <v>2044</v>
      </c>
      <c r="D143" s="106" t="s">
        <v>2043</v>
      </c>
      <c r="E143" s="107" t="str">
        <f t="shared" si="5"/>
        <v>BUTLER, KY, 41006</v>
      </c>
      <c r="F143" s="106" t="s">
        <v>2043</v>
      </c>
      <c r="G143" s="106" t="s">
        <v>2045</v>
      </c>
      <c r="H143" s="106" t="s">
        <v>2770</v>
      </c>
      <c r="I143" s="106" t="s">
        <v>2764</v>
      </c>
      <c r="J143" s="106" t="s">
        <v>1118</v>
      </c>
      <c r="K143" s="106" t="s">
        <v>1920</v>
      </c>
      <c r="L143" s="106" t="s">
        <v>2046</v>
      </c>
      <c r="N143" s="91">
        <f t="shared" si="4"/>
        <v>1</v>
      </c>
      <c r="O143" s="79" t="s">
        <v>2050</v>
      </c>
      <c r="P143" s="79" t="s">
        <v>2050</v>
      </c>
      <c r="Q143" s="79" t="s">
        <v>2049</v>
      </c>
      <c r="R143" s="79" t="s">
        <v>2770</v>
      </c>
      <c r="S143" s="79" t="s">
        <v>2789</v>
      </c>
      <c r="T143" s="79" t="s">
        <v>1833</v>
      </c>
      <c r="U143" s="79" t="s">
        <v>1144</v>
      </c>
      <c r="V143" s="79" t="s">
        <v>707</v>
      </c>
      <c r="W143" s="79" t="s">
        <v>1834</v>
      </c>
      <c r="Y143" s="79" t="s">
        <v>2049</v>
      </c>
    </row>
    <row r="144" spans="2:25" ht="12.75" customHeight="1" x14ac:dyDescent="0.2">
      <c r="B144" s="143" t="s">
        <v>2044</v>
      </c>
      <c r="C144" s="143" t="s">
        <v>2044</v>
      </c>
      <c r="D144" s="143" t="s">
        <v>2719</v>
      </c>
      <c r="E144" s="107" t="str">
        <f t="shared" si="5"/>
        <v>BUTLER, KY, 41006</v>
      </c>
      <c r="F144" s="143" t="s">
        <v>2719</v>
      </c>
      <c r="G144" s="143" t="s">
        <v>2045</v>
      </c>
      <c r="H144" s="143" t="s">
        <v>2770</v>
      </c>
      <c r="I144" s="143" t="s">
        <v>2764</v>
      </c>
      <c r="J144" s="143" t="s">
        <v>1118</v>
      </c>
      <c r="K144" s="143" t="s">
        <v>1920</v>
      </c>
      <c r="L144" s="143" t="s">
        <v>2046</v>
      </c>
      <c r="N144" s="91">
        <f t="shared" si="4"/>
        <v>1</v>
      </c>
      <c r="O144" s="79" t="s">
        <v>2048</v>
      </c>
      <c r="P144" s="79" t="s">
        <v>2048</v>
      </c>
      <c r="Q144" s="79" t="s">
        <v>2047</v>
      </c>
      <c r="R144" s="79" t="s">
        <v>2770</v>
      </c>
      <c r="S144" s="79" t="s">
        <v>2771</v>
      </c>
      <c r="T144" s="79" t="s">
        <v>1830</v>
      </c>
      <c r="U144" s="79" t="s">
        <v>1144</v>
      </c>
      <c r="V144" s="79" t="s">
        <v>707</v>
      </c>
      <c r="W144" s="79" t="s">
        <v>865</v>
      </c>
      <c r="Y144" s="79" t="s">
        <v>2047</v>
      </c>
    </row>
    <row r="145" spans="2:25" ht="12.75" customHeight="1" x14ac:dyDescent="0.2">
      <c r="B145" s="106" t="s">
        <v>2050</v>
      </c>
      <c r="C145" s="106" t="s">
        <v>2050</v>
      </c>
      <c r="D145" s="106" t="s">
        <v>2049</v>
      </c>
      <c r="E145" s="107" t="str">
        <f t="shared" si="5"/>
        <v>CINCINNATI, OH, 45202</v>
      </c>
      <c r="F145" s="106" t="s">
        <v>2049</v>
      </c>
      <c r="G145" s="106" t="s">
        <v>1833</v>
      </c>
      <c r="H145" s="106" t="s">
        <v>2770</v>
      </c>
      <c r="I145" s="106" t="s">
        <v>2789</v>
      </c>
      <c r="J145" s="106" t="s">
        <v>1144</v>
      </c>
      <c r="K145" s="106" t="s">
        <v>707</v>
      </c>
      <c r="L145" s="106" t="s">
        <v>1834</v>
      </c>
      <c r="N145" s="91">
        <f t="shared" si="4"/>
        <v>1</v>
      </c>
      <c r="O145" s="79" t="s">
        <v>2721</v>
      </c>
      <c r="P145" s="79" t="s">
        <v>2721</v>
      </c>
      <c r="Q145" s="79" t="s">
        <v>2720</v>
      </c>
      <c r="R145" s="79" t="s">
        <v>2770</v>
      </c>
      <c r="S145" s="79" t="s">
        <v>2789</v>
      </c>
      <c r="T145" s="79" t="s">
        <v>1905</v>
      </c>
      <c r="U145" s="79" t="s">
        <v>1144</v>
      </c>
      <c r="V145" s="79" t="s">
        <v>707</v>
      </c>
      <c r="W145" s="79" t="s">
        <v>1145</v>
      </c>
      <c r="Y145" s="79" t="s">
        <v>2720</v>
      </c>
    </row>
    <row r="146" spans="2:25" ht="12.75" customHeight="1" x14ac:dyDescent="0.2">
      <c r="B146" s="106" t="s">
        <v>2048</v>
      </c>
      <c r="C146" s="106" t="s">
        <v>2048</v>
      </c>
      <c r="D146" s="106" t="s">
        <v>2047</v>
      </c>
      <c r="E146" s="107" t="str">
        <f t="shared" si="5"/>
        <v>CINCINNATI, OH, 46797</v>
      </c>
      <c r="F146" s="106" t="s">
        <v>2047</v>
      </c>
      <c r="G146" s="106" t="s">
        <v>1830</v>
      </c>
      <c r="H146" s="106" t="s">
        <v>2770</v>
      </c>
      <c r="I146" s="106" t="s">
        <v>2771</v>
      </c>
      <c r="J146" s="106" t="s">
        <v>1144</v>
      </c>
      <c r="K146" s="106" t="s">
        <v>707</v>
      </c>
      <c r="L146" s="106" t="s">
        <v>865</v>
      </c>
      <c r="N146" s="91">
        <f t="shared" si="4"/>
        <v>1</v>
      </c>
      <c r="O146" s="79" t="s">
        <v>2052</v>
      </c>
      <c r="P146" s="79" t="s">
        <v>2052</v>
      </c>
      <c r="Q146" s="79" t="s">
        <v>2051</v>
      </c>
      <c r="R146" s="79" t="s">
        <v>2782</v>
      </c>
      <c r="S146" s="79" t="s">
        <v>1489</v>
      </c>
      <c r="T146" s="79" t="s">
        <v>1900</v>
      </c>
      <c r="U146" s="79" t="s">
        <v>1901</v>
      </c>
      <c r="V146" s="79" t="s">
        <v>1489</v>
      </c>
      <c r="W146" s="79" t="s">
        <v>1902</v>
      </c>
      <c r="Y146" s="79" t="s">
        <v>2051</v>
      </c>
    </row>
    <row r="147" spans="2:25" ht="12.75" customHeight="1" x14ac:dyDescent="0.2">
      <c r="B147" s="143" t="s">
        <v>2721</v>
      </c>
      <c r="C147" s="143" t="s">
        <v>2721</v>
      </c>
      <c r="D147" s="143" t="s">
        <v>2720</v>
      </c>
      <c r="E147" s="107" t="str">
        <f t="shared" si="5"/>
        <v>CINCINNATI, OH, 45226</v>
      </c>
      <c r="F147" s="143" t="s">
        <v>2720</v>
      </c>
      <c r="G147" s="143" t="s">
        <v>1905</v>
      </c>
      <c r="H147" s="143" t="s">
        <v>2770</v>
      </c>
      <c r="I147" s="143" t="s">
        <v>2789</v>
      </c>
      <c r="J147" s="143" t="s">
        <v>1144</v>
      </c>
      <c r="K147" s="143" t="s">
        <v>707</v>
      </c>
      <c r="L147" s="143" t="s">
        <v>1145</v>
      </c>
      <c r="N147" s="91">
        <f t="shared" si="4"/>
        <v>1</v>
      </c>
      <c r="O147" s="79" t="s">
        <v>1829</v>
      </c>
      <c r="P147" s="79" t="s">
        <v>1829</v>
      </c>
      <c r="Q147" s="79" t="s">
        <v>1828</v>
      </c>
      <c r="R147" s="79" t="s">
        <v>2770</v>
      </c>
      <c r="S147" s="79" t="s">
        <v>2789</v>
      </c>
      <c r="T147" s="79" t="s">
        <v>1830</v>
      </c>
      <c r="U147" s="79" t="s">
        <v>1144</v>
      </c>
      <c r="V147" s="79" t="s">
        <v>707</v>
      </c>
      <c r="W147" s="79" t="s">
        <v>865</v>
      </c>
      <c r="Y147" s="79" t="s">
        <v>1828</v>
      </c>
    </row>
    <row r="148" spans="2:25" ht="12.75" customHeight="1" x14ac:dyDescent="0.2">
      <c r="B148" s="106" t="s">
        <v>2052</v>
      </c>
      <c r="C148" s="106" t="s">
        <v>2052</v>
      </c>
      <c r="D148" s="106" t="s">
        <v>2051</v>
      </c>
      <c r="E148" s="107" t="str">
        <f t="shared" si="5"/>
        <v>PARKERSBURG, WV, 26101</v>
      </c>
      <c r="F148" s="106" t="s">
        <v>2051</v>
      </c>
      <c r="G148" s="106" t="s">
        <v>1900</v>
      </c>
      <c r="H148" s="106" t="s">
        <v>2782</v>
      </c>
      <c r="I148" s="106" t="s">
        <v>1489</v>
      </c>
      <c r="J148" s="106" t="s">
        <v>1901</v>
      </c>
      <c r="K148" s="106" t="s">
        <v>1489</v>
      </c>
      <c r="L148" s="106" t="s">
        <v>1902</v>
      </c>
      <c r="N148" s="91">
        <f t="shared" si="4"/>
        <v>2</v>
      </c>
      <c r="O148" s="79" t="s">
        <v>1829</v>
      </c>
      <c r="P148" s="79" t="s">
        <v>1829</v>
      </c>
      <c r="Q148" s="79" t="s">
        <v>2712</v>
      </c>
      <c r="R148" s="79" t="s">
        <v>2770</v>
      </c>
      <c r="S148" s="79" t="s">
        <v>2789</v>
      </c>
      <c r="T148" s="79" t="s">
        <v>1830</v>
      </c>
      <c r="U148" s="79" t="s">
        <v>1144</v>
      </c>
      <c r="V148" s="79" t="s">
        <v>707</v>
      </c>
      <c r="W148" s="79" t="s">
        <v>865</v>
      </c>
      <c r="Y148" s="79" t="s">
        <v>2712</v>
      </c>
    </row>
    <row r="149" spans="2:25" ht="12.75" customHeight="1" x14ac:dyDescent="0.2">
      <c r="B149" s="106" t="s">
        <v>1829</v>
      </c>
      <c r="C149" s="106" t="s">
        <v>1829</v>
      </c>
      <c r="D149" s="106" t="s">
        <v>1828</v>
      </c>
      <c r="E149" s="107" t="str">
        <f t="shared" si="5"/>
        <v>CINCINNATI, OH, 46797</v>
      </c>
      <c r="F149" s="106" t="s">
        <v>1828</v>
      </c>
      <c r="G149" s="106" t="s">
        <v>1830</v>
      </c>
      <c r="H149" s="106" t="s">
        <v>2770</v>
      </c>
      <c r="I149" s="106" t="s">
        <v>2789</v>
      </c>
      <c r="J149" s="106" t="s">
        <v>1144</v>
      </c>
      <c r="K149" s="106" t="s">
        <v>707</v>
      </c>
      <c r="L149" s="106" t="s">
        <v>865</v>
      </c>
      <c r="N149" s="91">
        <f t="shared" ref="N149:N212" si="6">IF(O149=O148,1+N148,1)</f>
        <v>1</v>
      </c>
      <c r="O149" s="79" t="s">
        <v>1832</v>
      </c>
      <c r="P149" s="79" t="s">
        <v>1832</v>
      </c>
      <c r="Q149" s="79" t="s">
        <v>1831</v>
      </c>
      <c r="R149" s="79" t="s">
        <v>2770</v>
      </c>
      <c r="S149" s="79" t="s">
        <v>2789</v>
      </c>
      <c r="T149" s="79" t="s">
        <v>1833</v>
      </c>
      <c r="U149" s="79" t="s">
        <v>1144</v>
      </c>
      <c r="V149" s="79" t="s">
        <v>707</v>
      </c>
      <c r="W149" s="79" t="s">
        <v>1834</v>
      </c>
      <c r="Y149" s="79" t="s">
        <v>1831</v>
      </c>
    </row>
    <row r="150" spans="2:25" ht="12.75" customHeight="1" x14ac:dyDescent="0.2">
      <c r="B150" s="143" t="s">
        <v>1829</v>
      </c>
      <c r="C150" s="143" t="s">
        <v>1829</v>
      </c>
      <c r="D150" s="143" t="s">
        <v>2712</v>
      </c>
      <c r="E150" s="107" t="str">
        <f t="shared" si="5"/>
        <v>CINCINNATI, OH, 46797</v>
      </c>
      <c r="F150" s="143" t="s">
        <v>2712</v>
      </c>
      <c r="G150" s="143" t="s">
        <v>1830</v>
      </c>
      <c r="H150" s="143" t="s">
        <v>2770</v>
      </c>
      <c r="I150" s="143" t="s">
        <v>2789</v>
      </c>
      <c r="J150" s="143" t="s">
        <v>1144</v>
      </c>
      <c r="K150" s="143" t="s">
        <v>707</v>
      </c>
      <c r="L150" s="143" t="s">
        <v>865</v>
      </c>
      <c r="N150" s="91">
        <f t="shared" si="6"/>
        <v>1</v>
      </c>
      <c r="O150" s="79" t="s">
        <v>2714</v>
      </c>
      <c r="P150" s="79" t="s">
        <v>2714</v>
      </c>
      <c r="Q150" s="79" t="s">
        <v>2713</v>
      </c>
      <c r="R150" s="79" t="s">
        <v>2770</v>
      </c>
      <c r="S150" s="79" t="s">
        <v>2789</v>
      </c>
      <c r="T150" s="79" t="s">
        <v>1833</v>
      </c>
      <c r="U150" s="79" t="s">
        <v>1144</v>
      </c>
      <c r="V150" s="79" t="s">
        <v>707</v>
      </c>
      <c r="W150" s="79" t="s">
        <v>1834</v>
      </c>
      <c r="Y150" s="79" t="s">
        <v>2713</v>
      </c>
    </row>
    <row r="151" spans="2:25" ht="12.75" customHeight="1" x14ac:dyDescent="0.2">
      <c r="B151" s="106" t="s">
        <v>1832</v>
      </c>
      <c r="C151" s="106" t="s">
        <v>1832</v>
      </c>
      <c r="D151" s="106" t="s">
        <v>1831</v>
      </c>
      <c r="E151" s="107" t="str">
        <f t="shared" si="5"/>
        <v>CINCINNATI, OH, 45202</v>
      </c>
      <c r="F151" s="106" t="s">
        <v>1831</v>
      </c>
      <c r="G151" s="106" t="s">
        <v>1833</v>
      </c>
      <c r="H151" s="106" t="s">
        <v>2770</v>
      </c>
      <c r="I151" s="106" t="s">
        <v>2789</v>
      </c>
      <c r="J151" s="106" t="s">
        <v>1144</v>
      </c>
      <c r="K151" s="106" t="s">
        <v>707</v>
      </c>
      <c r="L151" s="106" t="s">
        <v>1834</v>
      </c>
      <c r="N151" s="91">
        <f t="shared" si="6"/>
        <v>1</v>
      </c>
      <c r="O151" s="79" t="s">
        <v>2224</v>
      </c>
      <c r="P151" s="79" t="s">
        <v>2224</v>
      </c>
      <c r="Q151" s="79" t="s">
        <v>2223</v>
      </c>
      <c r="R151" s="79" t="s">
        <v>2782</v>
      </c>
      <c r="S151" s="79" t="s">
        <v>2810</v>
      </c>
      <c r="T151" s="79" t="s">
        <v>2225</v>
      </c>
      <c r="U151" s="79" t="s">
        <v>1849</v>
      </c>
      <c r="V151" s="79" t="s">
        <v>707</v>
      </c>
      <c r="W151" s="79" t="s">
        <v>1850</v>
      </c>
      <c r="Y151" s="79" t="s">
        <v>2223</v>
      </c>
    </row>
    <row r="152" spans="2:25" ht="12.75" customHeight="1" x14ac:dyDescent="0.2">
      <c r="B152" s="143" t="s">
        <v>2714</v>
      </c>
      <c r="C152" s="143" t="s">
        <v>2714</v>
      </c>
      <c r="D152" s="143" t="s">
        <v>2713</v>
      </c>
      <c r="E152" s="107" t="str">
        <f t="shared" si="5"/>
        <v>CINCINNATI, OH, 45202</v>
      </c>
      <c r="F152" s="143" t="s">
        <v>2713</v>
      </c>
      <c r="G152" s="143" t="s">
        <v>1833</v>
      </c>
      <c r="H152" s="143" t="s">
        <v>2770</v>
      </c>
      <c r="I152" s="143" t="s">
        <v>2789</v>
      </c>
      <c r="J152" s="143" t="s">
        <v>1144</v>
      </c>
      <c r="K152" s="143" t="s">
        <v>707</v>
      </c>
      <c r="L152" s="143" t="s">
        <v>1834</v>
      </c>
      <c r="N152" s="91">
        <f t="shared" si="6"/>
        <v>1</v>
      </c>
      <c r="O152" s="79" t="s">
        <v>2366</v>
      </c>
      <c r="P152" s="79" t="s">
        <v>2366</v>
      </c>
      <c r="Q152" s="79" t="s">
        <v>2365</v>
      </c>
      <c r="R152" s="79" t="s">
        <v>2791</v>
      </c>
      <c r="S152" s="79" t="s">
        <v>2800</v>
      </c>
      <c r="T152" s="79" t="s">
        <v>2367</v>
      </c>
      <c r="U152" s="79" t="s">
        <v>2368</v>
      </c>
      <c r="V152" s="79" t="s">
        <v>707</v>
      </c>
      <c r="W152" s="79" t="s">
        <v>2369</v>
      </c>
      <c r="Y152" s="79" t="s">
        <v>2365</v>
      </c>
    </row>
    <row r="153" spans="2:25" ht="12.75" customHeight="1" x14ac:dyDescent="0.2">
      <c r="B153" s="106" t="s">
        <v>2224</v>
      </c>
      <c r="C153" s="106" t="s">
        <v>2224</v>
      </c>
      <c r="D153" s="106" t="s">
        <v>2223</v>
      </c>
      <c r="E153" s="107" t="str">
        <f t="shared" si="5"/>
        <v>LOGAN, OH, 43138</v>
      </c>
      <c r="F153" s="106" t="s">
        <v>2223</v>
      </c>
      <c r="G153" s="106" t="s">
        <v>2225</v>
      </c>
      <c r="H153" s="106" t="s">
        <v>2782</v>
      </c>
      <c r="I153" s="106" t="s">
        <v>2810</v>
      </c>
      <c r="J153" s="106" t="s">
        <v>1849</v>
      </c>
      <c r="K153" s="106" t="s">
        <v>707</v>
      </c>
      <c r="L153" s="106" t="s">
        <v>1850</v>
      </c>
      <c r="N153" s="91">
        <f t="shared" si="6"/>
        <v>1</v>
      </c>
      <c r="O153" s="79" t="s">
        <v>2746</v>
      </c>
      <c r="P153" s="79" t="s">
        <v>2746</v>
      </c>
      <c r="Q153" s="79" t="s">
        <v>2745</v>
      </c>
      <c r="R153" s="79" t="s">
        <v>2791</v>
      </c>
      <c r="S153" s="79" t="s">
        <v>2800</v>
      </c>
      <c r="T153" s="79" t="s">
        <v>2367</v>
      </c>
      <c r="U153" s="79" t="s">
        <v>2368</v>
      </c>
      <c r="V153" s="79" t="s">
        <v>707</v>
      </c>
      <c r="W153" s="79" t="s">
        <v>2369</v>
      </c>
      <c r="Y153" s="79" t="s">
        <v>2745</v>
      </c>
    </row>
    <row r="154" spans="2:25" ht="12.75" customHeight="1" x14ac:dyDescent="0.2">
      <c r="B154" s="106" t="s">
        <v>2366</v>
      </c>
      <c r="C154" s="106" t="s">
        <v>2366</v>
      </c>
      <c r="D154" s="106" t="s">
        <v>2365</v>
      </c>
      <c r="E154" s="107" t="str">
        <f t="shared" si="5"/>
        <v>MILLERSBURG, OH, 44654</v>
      </c>
      <c r="F154" s="106" t="s">
        <v>2365</v>
      </c>
      <c r="G154" s="106" t="s">
        <v>2367</v>
      </c>
      <c r="H154" s="106" t="s">
        <v>2791</v>
      </c>
      <c r="I154" s="106" t="s">
        <v>2800</v>
      </c>
      <c r="J154" s="106" t="s">
        <v>2368</v>
      </c>
      <c r="K154" s="106" t="s">
        <v>707</v>
      </c>
      <c r="L154" s="106" t="s">
        <v>2369</v>
      </c>
      <c r="N154" s="91">
        <f t="shared" si="6"/>
        <v>1</v>
      </c>
      <c r="O154" s="79" t="s">
        <v>2424</v>
      </c>
      <c r="P154" s="79" t="s">
        <v>2424</v>
      </c>
      <c r="Q154" s="79" t="s">
        <v>2423</v>
      </c>
      <c r="R154" s="79" t="s">
        <v>2791</v>
      </c>
      <c r="S154" s="79" t="s">
        <v>2800</v>
      </c>
      <c r="T154" s="79" t="s">
        <v>2425</v>
      </c>
      <c r="U154" s="79" t="s">
        <v>2426</v>
      </c>
      <c r="V154" s="79" t="s">
        <v>707</v>
      </c>
      <c r="W154" s="79" t="s">
        <v>2427</v>
      </c>
      <c r="Y154" s="79" t="s">
        <v>2423</v>
      </c>
    </row>
    <row r="155" spans="2:25" ht="12.75" customHeight="1" x14ac:dyDescent="0.2">
      <c r="B155" s="143" t="s">
        <v>2746</v>
      </c>
      <c r="C155" s="143" t="s">
        <v>2746</v>
      </c>
      <c r="D155" s="143" t="s">
        <v>2745</v>
      </c>
      <c r="E155" s="107" t="str">
        <f t="shared" si="5"/>
        <v>MILLERSBURG, OH, 44654</v>
      </c>
      <c r="F155" s="143" t="s">
        <v>2745</v>
      </c>
      <c r="G155" s="143" t="s">
        <v>2367</v>
      </c>
      <c r="H155" s="143" t="s">
        <v>2791</v>
      </c>
      <c r="I155" s="143" t="s">
        <v>2800</v>
      </c>
      <c r="J155" s="143" t="s">
        <v>2368</v>
      </c>
      <c r="K155" s="143" t="s">
        <v>707</v>
      </c>
      <c r="L155" s="143" t="s">
        <v>2369</v>
      </c>
      <c r="N155" s="91">
        <f t="shared" si="6"/>
        <v>2</v>
      </c>
      <c r="O155" s="79" t="s">
        <v>2424</v>
      </c>
      <c r="P155" s="79" t="s">
        <v>2424</v>
      </c>
      <c r="Q155" s="79" t="s">
        <v>2748</v>
      </c>
      <c r="R155" s="79" t="s">
        <v>2791</v>
      </c>
      <c r="S155" s="79" t="s">
        <v>813</v>
      </c>
      <c r="T155" s="79" t="s">
        <v>2425</v>
      </c>
      <c r="U155" s="79" t="s">
        <v>2426</v>
      </c>
      <c r="V155" s="79" t="s">
        <v>707</v>
      </c>
      <c r="W155" s="79" t="s">
        <v>2427</v>
      </c>
      <c r="Y155" s="79" t="s">
        <v>2748</v>
      </c>
    </row>
    <row r="156" spans="2:25" ht="12.75" customHeight="1" x14ac:dyDescent="0.2">
      <c r="B156" s="106" t="s">
        <v>2424</v>
      </c>
      <c r="C156" s="106" t="s">
        <v>2424</v>
      </c>
      <c r="D156" s="106" t="s">
        <v>2423</v>
      </c>
      <c r="E156" s="107" t="str">
        <f t="shared" si="5"/>
        <v>HOLMESVILLE, OH, 44633</v>
      </c>
      <c r="F156" s="106" t="s">
        <v>2423</v>
      </c>
      <c r="G156" s="106" t="s">
        <v>2425</v>
      </c>
      <c r="H156" s="106" t="s">
        <v>2791</v>
      </c>
      <c r="I156" s="106" t="s">
        <v>2800</v>
      </c>
      <c r="J156" s="106" t="s">
        <v>2426</v>
      </c>
      <c r="K156" s="106" t="s">
        <v>707</v>
      </c>
      <c r="L156" s="106" t="s">
        <v>2427</v>
      </c>
      <c r="N156" s="91">
        <f t="shared" si="6"/>
        <v>1</v>
      </c>
      <c r="O156" s="79" t="s">
        <v>1306</v>
      </c>
      <c r="P156" s="79" t="s">
        <v>1306</v>
      </c>
      <c r="Q156" s="79" t="s">
        <v>1305</v>
      </c>
      <c r="R156" s="79" t="s">
        <v>2762</v>
      </c>
      <c r="S156" s="79" t="s">
        <v>2774</v>
      </c>
      <c r="T156" s="79" t="s">
        <v>1307</v>
      </c>
      <c r="U156" s="79" t="s">
        <v>822</v>
      </c>
      <c r="V156" s="79" t="s">
        <v>707</v>
      </c>
      <c r="W156" s="79" t="s">
        <v>823</v>
      </c>
      <c r="Y156" s="79" t="s">
        <v>1305</v>
      </c>
    </row>
    <row r="157" spans="2:25" ht="12.75" customHeight="1" x14ac:dyDescent="0.2">
      <c r="B157" s="143" t="s">
        <v>2424</v>
      </c>
      <c r="C157" s="143" t="s">
        <v>2424</v>
      </c>
      <c r="D157" s="143" t="s">
        <v>2748</v>
      </c>
      <c r="E157" s="107" t="str">
        <f t="shared" si="5"/>
        <v>HOLMESVILLE, OH, 44633</v>
      </c>
      <c r="F157" s="143" t="s">
        <v>2748</v>
      </c>
      <c r="G157" s="143" t="s">
        <v>2425</v>
      </c>
      <c r="H157" s="143" t="s">
        <v>2791</v>
      </c>
      <c r="I157" s="143" t="s">
        <v>813</v>
      </c>
      <c r="J157" s="143" t="s">
        <v>2426</v>
      </c>
      <c r="K157" s="143" t="s">
        <v>707</v>
      </c>
      <c r="L157" s="143" t="s">
        <v>2427</v>
      </c>
      <c r="N157" s="91">
        <f t="shared" si="6"/>
        <v>1</v>
      </c>
      <c r="O157" s="79" t="s">
        <v>2072</v>
      </c>
      <c r="P157" s="79" t="s">
        <v>2072</v>
      </c>
      <c r="Q157" s="79" t="s">
        <v>2071</v>
      </c>
      <c r="R157" s="79" t="s">
        <v>2770</v>
      </c>
      <c r="S157" s="79" t="s">
        <v>2811</v>
      </c>
      <c r="T157" s="79" t="s">
        <v>2073</v>
      </c>
      <c r="U157" s="79" t="s">
        <v>2074</v>
      </c>
      <c r="V157" s="79" t="s">
        <v>723</v>
      </c>
      <c r="W157" s="79" t="s">
        <v>2075</v>
      </c>
      <c r="Y157" s="79" t="s">
        <v>2071</v>
      </c>
    </row>
    <row r="158" spans="2:25" ht="12.75" customHeight="1" x14ac:dyDescent="0.2">
      <c r="B158" s="106" t="s">
        <v>1306</v>
      </c>
      <c r="C158" s="106" t="s">
        <v>1306</v>
      </c>
      <c r="D158" s="106" t="s">
        <v>1305</v>
      </c>
      <c r="E158" s="107" t="str">
        <f t="shared" si="5"/>
        <v>KENT, OH, 44240</v>
      </c>
      <c r="F158" s="106" t="s">
        <v>1305</v>
      </c>
      <c r="G158" s="106" t="s">
        <v>1307</v>
      </c>
      <c r="H158" s="106" t="s">
        <v>2762</v>
      </c>
      <c r="I158" s="106" t="s">
        <v>2774</v>
      </c>
      <c r="J158" s="106" t="s">
        <v>822</v>
      </c>
      <c r="K158" s="106" t="s">
        <v>707</v>
      </c>
      <c r="L158" s="106" t="s">
        <v>823</v>
      </c>
      <c r="N158" s="91">
        <f t="shared" si="6"/>
        <v>1</v>
      </c>
      <c r="O158" s="79" t="s">
        <v>1962</v>
      </c>
      <c r="P158" s="79" t="s">
        <v>1962</v>
      </c>
      <c r="Q158" s="79" t="s">
        <v>1961</v>
      </c>
      <c r="R158" s="79" t="s">
        <v>2770</v>
      </c>
      <c r="S158" s="79" t="s">
        <v>2811</v>
      </c>
      <c r="T158" s="79" t="s">
        <v>1963</v>
      </c>
      <c r="U158" s="79" t="s">
        <v>1964</v>
      </c>
      <c r="V158" s="79" t="s">
        <v>723</v>
      </c>
      <c r="W158" s="79" t="s">
        <v>1965</v>
      </c>
      <c r="Y158" s="79" t="s">
        <v>1961</v>
      </c>
    </row>
    <row r="159" spans="2:25" ht="12.75" customHeight="1" x14ac:dyDescent="0.2">
      <c r="B159" s="106" t="s">
        <v>3159</v>
      </c>
      <c r="C159" s="106" t="s">
        <v>3159</v>
      </c>
      <c r="D159" s="106" t="s">
        <v>3160</v>
      </c>
      <c r="E159" s="107" t="str">
        <f t="shared" si="5"/>
        <v>CLEVELAND, OH, 44127</v>
      </c>
      <c r="F159" s="106" t="s">
        <v>3160</v>
      </c>
      <c r="G159" s="106" t="s">
        <v>3161</v>
      </c>
      <c r="H159" s="106" t="s">
        <v>2759</v>
      </c>
      <c r="I159" s="106" t="s">
        <v>2760</v>
      </c>
      <c r="J159" s="106" t="s">
        <v>843</v>
      </c>
      <c r="K159" s="106" t="s">
        <v>707</v>
      </c>
      <c r="L159" s="106" t="s">
        <v>3162</v>
      </c>
      <c r="N159" s="91">
        <f t="shared" si="6"/>
        <v>1</v>
      </c>
      <c r="O159" s="79" t="s">
        <v>1182</v>
      </c>
      <c r="P159" s="79" t="s">
        <v>1182</v>
      </c>
      <c r="Q159" s="79" t="s">
        <v>1181</v>
      </c>
      <c r="R159" s="79" t="s">
        <v>2772</v>
      </c>
      <c r="S159" s="79" t="s">
        <v>2764</v>
      </c>
      <c r="T159" s="79" t="s">
        <v>1183</v>
      </c>
      <c r="U159" s="79" t="s">
        <v>1123</v>
      </c>
      <c r="V159" s="79" t="s">
        <v>723</v>
      </c>
      <c r="W159" s="79" t="s">
        <v>1124</v>
      </c>
      <c r="Y159" s="79" t="s">
        <v>1181</v>
      </c>
    </row>
    <row r="160" spans="2:25" ht="12.75" customHeight="1" x14ac:dyDescent="0.2">
      <c r="B160" s="106" t="s">
        <v>2072</v>
      </c>
      <c r="C160" s="106" t="s">
        <v>2072</v>
      </c>
      <c r="D160" s="106" t="s">
        <v>2071</v>
      </c>
      <c r="E160" s="107" t="str">
        <f t="shared" si="5"/>
        <v>CAMBRIDGE CITY, IN, 47327</v>
      </c>
      <c r="F160" s="106" t="s">
        <v>2071</v>
      </c>
      <c r="G160" s="106" t="s">
        <v>2073</v>
      </c>
      <c r="H160" s="106" t="s">
        <v>2770</v>
      </c>
      <c r="I160" s="106" t="s">
        <v>2811</v>
      </c>
      <c r="J160" s="106" t="s">
        <v>2074</v>
      </c>
      <c r="K160" s="106" t="s">
        <v>723</v>
      </c>
      <c r="L160" s="106" t="s">
        <v>2075</v>
      </c>
      <c r="N160" s="91">
        <f t="shared" si="6"/>
        <v>1</v>
      </c>
      <c r="O160" s="79" t="s">
        <v>1185</v>
      </c>
      <c r="P160" s="79" t="s">
        <v>1185</v>
      </c>
      <c r="Q160" s="79" t="s">
        <v>1184</v>
      </c>
      <c r="R160" s="79" t="s">
        <v>2772</v>
      </c>
      <c r="S160" s="79" t="s">
        <v>2764</v>
      </c>
      <c r="T160" s="79" t="s">
        <v>1186</v>
      </c>
      <c r="U160" s="79" t="s">
        <v>1187</v>
      </c>
      <c r="V160" s="79" t="s">
        <v>723</v>
      </c>
      <c r="W160" s="79" t="s">
        <v>1188</v>
      </c>
      <c r="Y160" s="79" t="s">
        <v>1184</v>
      </c>
    </row>
    <row r="161" spans="2:25" ht="12.75" customHeight="1" x14ac:dyDescent="0.2">
      <c r="B161" s="106" t="s">
        <v>1962</v>
      </c>
      <c r="C161" s="106" t="s">
        <v>1962</v>
      </c>
      <c r="D161" s="106" t="s">
        <v>1961</v>
      </c>
      <c r="E161" s="107" t="str">
        <f t="shared" si="5"/>
        <v>CONNERSVILLE, IN, 47331</v>
      </c>
      <c r="F161" s="106" t="s">
        <v>1961</v>
      </c>
      <c r="G161" s="106" t="s">
        <v>1963</v>
      </c>
      <c r="H161" s="106" t="s">
        <v>2770</v>
      </c>
      <c r="I161" s="106" t="s">
        <v>2811</v>
      </c>
      <c r="J161" s="106" t="s">
        <v>1964</v>
      </c>
      <c r="K161" s="106" t="s">
        <v>723</v>
      </c>
      <c r="L161" s="106" t="s">
        <v>1965</v>
      </c>
      <c r="N161" s="91">
        <f t="shared" si="6"/>
        <v>1</v>
      </c>
      <c r="O161" s="79" t="s">
        <v>1314</v>
      </c>
      <c r="P161" s="79" t="s">
        <v>1314</v>
      </c>
      <c r="Q161" s="79" t="s">
        <v>1313</v>
      </c>
      <c r="R161" s="79" t="s">
        <v>2759</v>
      </c>
      <c r="S161" s="79" t="s">
        <v>2760</v>
      </c>
      <c r="T161" s="79" t="s">
        <v>842</v>
      </c>
      <c r="U161" s="79" t="s">
        <v>843</v>
      </c>
      <c r="V161" s="79" t="s">
        <v>707</v>
      </c>
      <c r="W161" s="79" t="s">
        <v>844</v>
      </c>
      <c r="Y161" s="79" t="s">
        <v>1313</v>
      </c>
    </row>
    <row r="162" spans="2:25" ht="12.75" customHeight="1" x14ac:dyDescent="0.2">
      <c r="B162" s="106" t="s">
        <v>1182</v>
      </c>
      <c r="C162" s="106" t="s">
        <v>1182</v>
      </c>
      <c r="D162" s="106" t="s">
        <v>1181</v>
      </c>
      <c r="E162" s="107" t="str">
        <f t="shared" si="5"/>
        <v>ANGOLA, IN, 46703</v>
      </c>
      <c r="F162" s="106" t="s">
        <v>1181</v>
      </c>
      <c r="G162" s="106" t="s">
        <v>1183</v>
      </c>
      <c r="H162" s="106" t="s">
        <v>2772</v>
      </c>
      <c r="I162" s="106" t="s">
        <v>2764</v>
      </c>
      <c r="J162" s="106" t="s">
        <v>1123</v>
      </c>
      <c r="K162" s="106" t="s">
        <v>723</v>
      </c>
      <c r="L162" s="106" t="s">
        <v>1124</v>
      </c>
      <c r="N162" s="91">
        <f t="shared" si="6"/>
        <v>1</v>
      </c>
      <c r="O162" s="79" t="s">
        <v>2325</v>
      </c>
      <c r="P162" s="79" t="s">
        <v>2325</v>
      </c>
      <c r="Q162" s="79" t="s">
        <v>2324</v>
      </c>
      <c r="R162" s="79" t="s">
        <v>2782</v>
      </c>
      <c r="S162" s="79" t="s">
        <v>2810</v>
      </c>
      <c r="T162" s="79" t="s">
        <v>2326</v>
      </c>
      <c r="U162" s="79" t="s">
        <v>1849</v>
      </c>
      <c r="V162" s="79" t="s">
        <v>707</v>
      </c>
      <c r="W162" s="79" t="s">
        <v>1850</v>
      </c>
      <c r="Y162" s="79" t="s">
        <v>2324</v>
      </c>
    </row>
    <row r="163" spans="2:25" ht="12.75" customHeight="1" x14ac:dyDescent="0.2">
      <c r="B163" s="106" t="s">
        <v>1185</v>
      </c>
      <c r="C163" s="106" t="s">
        <v>1185</v>
      </c>
      <c r="D163" s="106" t="s">
        <v>1184</v>
      </c>
      <c r="E163" s="107" t="str">
        <f t="shared" si="5"/>
        <v>WOLCOTTVILLE, IN, 46795</v>
      </c>
      <c r="F163" s="106" t="s">
        <v>1184</v>
      </c>
      <c r="G163" s="106" t="s">
        <v>1186</v>
      </c>
      <c r="H163" s="106" t="s">
        <v>2772</v>
      </c>
      <c r="I163" s="106" t="s">
        <v>2764</v>
      </c>
      <c r="J163" s="106" t="s">
        <v>1187</v>
      </c>
      <c r="K163" s="106" t="s">
        <v>723</v>
      </c>
      <c r="L163" s="106" t="s">
        <v>1188</v>
      </c>
      <c r="N163" s="91">
        <f t="shared" si="6"/>
        <v>1</v>
      </c>
      <c r="O163" s="79" t="s">
        <v>2361</v>
      </c>
      <c r="P163" s="79" t="s">
        <v>2361</v>
      </c>
      <c r="Q163" s="79" t="s">
        <v>2360</v>
      </c>
      <c r="R163" s="79" t="s">
        <v>2791</v>
      </c>
      <c r="S163" s="79" t="s">
        <v>2812</v>
      </c>
      <c r="T163" s="79" t="s">
        <v>2362</v>
      </c>
      <c r="U163" s="79" t="s">
        <v>2363</v>
      </c>
      <c r="V163" s="79" t="s">
        <v>707</v>
      </c>
      <c r="W163" s="79" t="s">
        <v>2364</v>
      </c>
      <c r="Y163" s="79" t="s">
        <v>2360</v>
      </c>
    </row>
    <row r="164" spans="2:25" ht="12.75" customHeight="1" x14ac:dyDescent="0.2">
      <c r="B164" s="106" t="s">
        <v>1314</v>
      </c>
      <c r="C164" s="106" t="s">
        <v>1314</v>
      </c>
      <c r="D164" s="106" t="s">
        <v>1313</v>
      </c>
      <c r="E164" s="107" t="str">
        <f t="shared" si="5"/>
        <v>CLEVELAND, OH, 44135</v>
      </c>
      <c r="F164" s="106" t="s">
        <v>1313</v>
      </c>
      <c r="G164" s="106" t="s">
        <v>842</v>
      </c>
      <c r="H164" s="106" t="s">
        <v>2759</v>
      </c>
      <c r="I164" s="106" t="s">
        <v>2760</v>
      </c>
      <c r="J164" s="106" t="s">
        <v>843</v>
      </c>
      <c r="K164" s="106" t="s">
        <v>707</v>
      </c>
      <c r="L164" s="106" t="s">
        <v>844</v>
      </c>
      <c r="N164" s="91">
        <f t="shared" si="6"/>
        <v>1</v>
      </c>
      <c r="O164" s="79" t="s">
        <v>2290</v>
      </c>
      <c r="P164" s="79" t="s">
        <v>2290</v>
      </c>
      <c r="Q164" s="79" t="s">
        <v>2289</v>
      </c>
      <c r="R164" s="79" t="s">
        <v>2782</v>
      </c>
      <c r="S164" s="79" t="s">
        <v>2783</v>
      </c>
      <c r="T164" s="79" t="s">
        <v>2291</v>
      </c>
      <c r="U164" s="79" t="s">
        <v>2292</v>
      </c>
      <c r="V164" s="79" t="s">
        <v>707</v>
      </c>
      <c r="W164" s="79" t="s">
        <v>2293</v>
      </c>
      <c r="Y164" s="79" t="s">
        <v>2289</v>
      </c>
    </row>
    <row r="165" spans="2:25" ht="12.75" customHeight="1" x14ac:dyDescent="0.2">
      <c r="B165" s="106" t="s">
        <v>2325</v>
      </c>
      <c r="C165" s="106" t="s">
        <v>2325</v>
      </c>
      <c r="D165" s="106" t="s">
        <v>2324</v>
      </c>
      <c r="E165" s="107" t="str">
        <f t="shared" si="5"/>
        <v>LOGAN, OH, 43138</v>
      </c>
      <c r="F165" s="106" t="s">
        <v>2324</v>
      </c>
      <c r="G165" s="106" t="s">
        <v>2326</v>
      </c>
      <c r="H165" s="106" t="s">
        <v>2782</v>
      </c>
      <c r="I165" s="106" t="s">
        <v>2810</v>
      </c>
      <c r="J165" s="106" t="s">
        <v>1849</v>
      </c>
      <c r="K165" s="106" t="s">
        <v>707</v>
      </c>
      <c r="L165" s="106" t="s">
        <v>1850</v>
      </c>
      <c r="N165" s="91">
        <f t="shared" si="6"/>
        <v>1</v>
      </c>
      <c r="O165" s="79" t="s">
        <v>859</v>
      </c>
      <c r="P165" s="79" t="s">
        <v>859</v>
      </c>
      <c r="Q165" s="79" t="s">
        <v>858</v>
      </c>
      <c r="R165" s="79" t="s">
        <v>2804</v>
      </c>
      <c r="S165" s="79" t="s">
        <v>2813</v>
      </c>
      <c r="T165" s="79" t="s">
        <v>860</v>
      </c>
      <c r="U165" s="79" t="s">
        <v>717</v>
      </c>
      <c r="V165" s="79" t="s">
        <v>707</v>
      </c>
      <c r="W165" s="79" t="s">
        <v>718</v>
      </c>
      <c r="Y165" s="79" t="s">
        <v>858</v>
      </c>
    </row>
    <row r="166" spans="2:25" ht="12.75" customHeight="1" x14ac:dyDescent="0.2">
      <c r="B166" s="106" t="s">
        <v>3149</v>
      </c>
      <c r="C166" s="106" t="s">
        <v>3149</v>
      </c>
      <c r="D166" s="106" t="s">
        <v>3150</v>
      </c>
      <c r="E166" s="107" t="str">
        <f t="shared" si="5"/>
        <v>BOLIVER, OH, 44612</v>
      </c>
      <c r="F166" s="106" t="s">
        <v>3150</v>
      </c>
      <c r="G166" s="106" t="s">
        <v>3151</v>
      </c>
      <c r="H166" s="106" t="s">
        <v>2791</v>
      </c>
      <c r="I166" s="106" t="s">
        <v>2812</v>
      </c>
      <c r="J166" s="106" t="s">
        <v>3152</v>
      </c>
      <c r="K166" s="106" t="s">
        <v>707</v>
      </c>
      <c r="L166" s="106" t="s">
        <v>2377</v>
      </c>
      <c r="N166" s="91">
        <f t="shared" si="6"/>
        <v>2</v>
      </c>
      <c r="O166" s="79" t="s">
        <v>859</v>
      </c>
      <c r="P166" s="79" t="s">
        <v>859</v>
      </c>
      <c r="Q166" s="79" t="s">
        <v>2582</v>
      </c>
      <c r="R166" s="79" t="s">
        <v>2804</v>
      </c>
      <c r="S166" s="79" t="s">
        <v>2813</v>
      </c>
      <c r="T166" s="79" t="s">
        <v>2583</v>
      </c>
      <c r="U166" s="79" t="s">
        <v>717</v>
      </c>
      <c r="V166" s="79" t="s">
        <v>707</v>
      </c>
      <c r="W166" s="79" t="s">
        <v>718</v>
      </c>
      <c r="Y166" s="79" t="s">
        <v>2582</v>
      </c>
    </row>
    <row r="167" spans="2:25" ht="12.75" customHeight="1" x14ac:dyDescent="0.2">
      <c r="B167" s="106" t="s">
        <v>2361</v>
      </c>
      <c r="C167" s="106" t="s">
        <v>2361</v>
      </c>
      <c r="D167" s="106" t="s">
        <v>2360</v>
      </c>
      <c r="E167" s="107" t="str">
        <f t="shared" si="5"/>
        <v>DOVER, OH, 44622</v>
      </c>
      <c r="F167" s="106" t="s">
        <v>2360</v>
      </c>
      <c r="G167" s="106" t="s">
        <v>2362</v>
      </c>
      <c r="H167" s="106" t="s">
        <v>2791</v>
      </c>
      <c r="I167" s="106" t="s">
        <v>2812</v>
      </c>
      <c r="J167" s="106" t="s">
        <v>2363</v>
      </c>
      <c r="K167" s="106" t="s">
        <v>707</v>
      </c>
      <c r="L167" s="106" t="s">
        <v>2364</v>
      </c>
      <c r="N167" s="91">
        <f t="shared" si="6"/>
        <v>1</v>
      </c>
      <c r="O167" s="79" t="s">
        <v>2551</v>
      </c>
      <c r="P167" s="79" t="s">
        <v>2551</v>
      </c>
      <c r="Q167" s="79" t="s">
        <v>2550</v>
      </c>
      <c r="R167" s="79" t="s">
        <v>2759</v>
      </c>
      <c r="S167" s="79" t="s">
        <v>2760</v>
      </c>
      <c r="T167" s="79" t="s">
        <v>2552</v>
      </c>
      <c r="U167" s="79" t="s">
        <v>843</v>
      </c>
      <c r="V167" s="79" t="s">
        <v>707</v>
      </c>
      <c r="W167" s="79" t="s">
        <v>2553</v>
      </c>
      <c r="Y167" s="79" t="s">
        <v>2550</v>
      </c>
    </row>
    <row r="168" spans="2:25" ht="12.75" customHeight="1" x14ac:dyDescent="0.2">
      <c r="B168" s="106" t="s">
        <v>2290</v>
      </c>
      <c r="C168" s="106" t="s">
        <v>2290</v>
      </c>
      <c r="D168" s="106" t="s">
        <v>2289</v>
      </c>
      <c r="E168" s="107" t="str">
        <f t="shared" si="5"/>
        <v>CALDWELL, OH, 43724</v>
      </c>
      <c r="F168" s="106" t="s">
        <v>2289</v>
      </c>
      <c r="G168" s="106" t="s">
        <v>2291</v>
      </c>
      <c r="H168" s="106" t="s">
        <v>2782</v>
      </c>
      <c r="I168" s="106" t="s">
        <v>2783</v>
      </c>
      <c r="J168" s="106" t="s">
        <v>2292</v>
      </c>
      <c r="K168" s="106" t="s">
        <v>707</v>
      </c>
      <c r="L168" s="106" t="s">
        <v>2293</v>
      </c>
      <c r="N168" s="91">
        <f t="shared" si="6"/>
        <v>1</v>
      </c>
      <c r="O168" s="79" t="s">
        <v>2345</v>
      </c>
      <c r="P168" s="79" t="s">
        <v>2345</v>
      </c>
      <c r="Q168" s="79" t="s">
        <v>2344</v>
      </c>
      <c r="R168" s="79" t="s">
        <v>2782</v>
      </c>
      <c r="S168" s="79" t="s">
        <v>2784</v>
      </c>
      <c r="T168" s="79" t="s">
        <v>2814</v>
      </c>
      <c r="U168" s="79" t="s">
        <v>1974</v>
      </c>
      <c r="V168" s="79" t="s">
        <v>707</v>
      </c>
      <c r="W168" s="79" t="s">
        <v>1975</v>
      </c>
      <c r="Y168" s="79" t="s">
        <v>2344</v>
      </c>
    </row>
    <row r="169" spans="2:25" ht="12.75" customHeight="1" x14ac:dyDescent="0.2">
      <c r="B169" s="106" t="s">
        <v>859</v>
      </c>
      <c r="C169" s="106" t="s">
        <v>859</v>
      </c>
      <c r="D169" s="106" t="s">
        <v>858</v>
      </c>
      <c r="E169" s="107" t="str">
        <f t="shared" si="5"/>
        <v>UPPER SANDUSKY, OH, 43351</v>
      </c>
      <c r="F169" s="106" t="s">
        <v>858</v>
      </c>
      <c r="G169" s="106" t="s">
        <v>860</v>
      </c>
      <c r="H169" s="106" t="s">
        <v>2804</v>
      </c>
      <c r="I169" s="106" t="s">
        <v>2813</v>
      </c>
      <c r="J169" s="106" t="s">
        <v>717</v>
      </c>
      <c r="K169" s="106" t="s">
        <v>707</v>
      </c>
      <c r="L169" s="106" t="s">
        <v>718</v>
      </c>
      <c r="N169" s="91">
        <f t="shared" si="6"/>
        <v>1</v>
      </c>
      <c r="O169" s="79" t="s">
        <v>1400</v>
      </c>
      <c r="P169" s="79" t="s">
        <v>1400</v>
      </c>
      <c r="Q169" s="79" t="s">
        <v>1399</v>
      </c>
      <c r="R169" s="79" t="s">
        <v>2762</v>
      </c>
      <c r="S169" s="79" t="s">
        <v>2764</v>
      </c>
      <c r="T169" s="79" t="s">
        <v>1401</v>
      </c>
      <c r="U169" s="79" t="s">
        <v>1402</v>
      </c>
      <c r="V169" s="79" t="s">
        <v>898</v>
      </c>
      <c r="W169" s="79" t="s">
        <v>1403</v>
      </c>
      <c r="Y169" s="79" t="s">
        <v>1399</v>
      </c>
    </row>
    <row r="170" spans="2:25" ht="12.75" customHeight="1" x14ac:dyDescent="0.2">
      <c r="B170" s="106" t="s">
        <v>859</v>
      </c>
      <c r="C170" s="106" t="s">
        <v>859</v>
      </c>
      <c r="D170" s="106" t="s">
        <v>2582</v>
      </c>
      <c r="E170" s="107" t="str">
        <f t="shared" si="5"/>
        <v>UPPER SANDUSKY, OH, 43351</v>
      </c>
      <c r="F170" s="106" t="s">
        <v>2582</v>
      </c>
      <c r="G170" s="106" t="s">
        <v>2583</v>
      </c>
      <c r="H170" s="106" t="s">
        <v>2804</v>
      </c>
      <c r="I170" s="106" t="s">
        <v>2813</v>
      </c>
      <c r="J170" s="106" t="s">
        <v>717</v>
      </c>
      <c r="K170" s="106" t="s">
        <v>707</v>
      </c>
      <c r="L170" s="106" t="s">
        <v>718</v>
      </c>
      <c r="N170" s="91">
        <f t="shared" si="6"/>
        <v>1</v>
      </c>
      <c r="O170" s="79" t="s">
        <v>1391</v>
      </c>
      <c r="P170" s="79" t="s">
        <v>1391</v>
      </c>
      <c r="Q170" s="79" t="s">
        <v>1390</v>
      </c>
      <c r="R170" s="79" t="s">
        <v>2762</v>
      </c>
      <c r="S170" s="79" t="s">
        <v>2815</v>
      </c>
      <c r="T170" s="79" t="s">
        <v>1392</v>
      </c>
      <c r="U170" s="79" t="s">
        <v>1393</v>
      </c>
      <c r="V170" s="79" t="s">
        <v>707</v>
      </c>
      <c r="W170" s="79" t="s">
        <v>1394</v>
      </c>
      <c r="Y170" s="79" t="s">
        <v>1390</v>
      </c>
    </row>
    <row r="171" spans="2:25" ht="12.75" customHeight="1" x14ac:dyDescent="0.2">
      <c r="B171" s="106" t="s">
        <v>2345</v>
      </c>
      <c r="C171" s="106" t="s">
        <v>2345</v>
      </c>
      <c r="D171" s="106" t="s">
        <v>2344</v>
      </c>
      <c r="E171" s="107" t="str">
        <f t="shared" si="5"/>
        <v>BELPRE, OH, 45714</v>
      </c>
      <c r="F171" s="106" t="s">
        <v>2344</v>
      </c>
      <c r="G171" s="106" t="s">
        <v>2814</v>
      </c>
      <c r="H171" s="106" t="s">
        <v>2782</v>
      </c>
      <c r="I171" s="106" t="s">
        <v>2784</v>
      </c>
      <c r="J171" s="106" t="s">
        <v>1974</v>
      </c>
      <c r="K171" s="106" t="s">
        <v>707</v>
      </c>
      <c r="L171" s="106" t="s">
        <v>1975</v>
      </c>
      <c r="N171" s="91">
        <f t="shared" si="6"/>
        <v>1</v>
      </c>
      <c r="O171" s="79" t="s">
        <v>2511</v>
      </c>
      <c r="P171" s="79" t="s">
        <v>2511</v>
      </c>
      <c r="Q171" s="79" t="s">
        <v>2510</v>
      </c>
      <c r="R171" s="79" t="s">
        <v>2759</v>
      </c>
      <c r="S171" s="79" t="s">
        <v>2760</v>
      </c>
      <c r="T171" s="79" t="s">
        <v>961</v>
      </c>
      <c r="U171" s="79" t="s">
        <v>843</v>
      </c>
      <c r="V171" s="79" t="s">
        <v>707</v>
      </c>
      <c r="W171" s="79" t="s">
        <v>955</v>
      </c>
      <c r="Y171" s="79" t="s">
        <v>2510</v>
      </c>
    </row>
    <row r="172" spans="2:25" ht="12.75" customHeight="1" x14ac:dyDescent="0.2">
      <c r="B172" s="106" t="s">
        <v>1400</v>
      </c>
      <c r="C172" s="106" t="s">
        <v>1400</v>
      </c>
      <c r="D172" s="106" t="s">
        <v>1399</v>
      </c>
      <c r="E172" s="107" t="str">
        <f t="shared" si="5"/>
        <v>WEST MIFFLIN, PA, 15122</v>
      </c>
      <c r="F172" s="106" t="s">
        <v>1399</v>
      </c>
      <c r="G172" s="106" t="s">
        <v>1401</v>
      </c>
      <c r="H172" s="106" t="s">
        <v>2762</v>
      </c>
      <c r="I172" s="106" t="s">
        <v>2764</v>
      </c>
      <c r="J172" s="106" t="s">
        <v>1402</v>
      </c>
      <c r="K172" s="106" t="s">
        <v>898</v>
      </c>
      <c r="L172" s="106" t="s">
        <v>1403</v>
      </c>
      <c r="N172" s="91">
        <f t="shared" si="6"/>
        <v>1</v>
      </c>
      <c r="O172" s="79" t="s">
        <v>2519</v>
      </c>
      <c r="P172" s="79" t="s">
        <v>2519</v>
      </c>
      <c r="Q172" s="79" t="s">
        <v>2518</v>
      </c>
      <c r="R172" s="79" t="s">
        <v>2759</v>
      </c>
      <c r="S172" s="79" t="s">
        <v>2760</v>
      </c>
      <c r="T172" s="79" t="s">
        <v>986</v>
      </c>
      <c r="U172" s="79" t="s">
        <v>843</v>
      </c>
      <c r="V172" s="79" t="s">
        <v>707</v>
      </c>
      <c r="W172" s="79" t="s">
        <v>955</v>
      </c>
      <c r="Y172" s="79" t="s">
        <v>2518</v>
      </c>
    </row>
    <row r="173" spans="2:25" ht="12.75" customHeight="1" x14ac:dyDescent="0.2">
      <c r="B173" s="106" t="s">
        <v>2511</v>
      </c>
      <c r="C173" s="106" t="s">
        <v>2511</v>
      </c>
      <c r="D173" s="106" t="s">
        <v>2510</v>
      </c>
      <c r="E173" s="107" t="str">
        <f t="shared" si="5"/>
        <v>CLEVELAND, OH, 44113</v>
      </c>
      <c r="F173" s="106" t="s">
        <v>2510</v>
      </c>
      <c r="G173" s="106" t="s">
        <v>961</v>
      </c>
      <c r="H173" s="106" t="s">
        <v>2759</v>
      </c>
      <c r="I173" s="106" t="s">
        <v>2760</v>
      </c>
      <c r="J173" s="106" t="s">
        <v>843</v>
      </c>
      <c r="K173" s="106" t="s">
        <v>707</v>
      </c>
      <c r="L173" s="106" t="s">
        <v>955</v>
      </c>
      <c r="N173" s="91">
        <f t="shared" si="6"/>
        <v>1</v>
      </c>
      <c r="O173" s="79" t="s">
        <v>2515</v>
      </c>
      <c r="P173" s="79" t="s">
        <v>2515</v>
      </c>
      <c r="Q173" s="79" t="s">
        <v>2514</v>
      </c>
      <c r="R173" s="79" t="s">
        <v>2767</v>
      </c>
      <c r="S173" s="79" t="s">
        <v>2816</v>
      </c>
      <c r="T173" s="79" t="s">
        <v>973</v>
      </c>
      <c r="U173" s="79" t="s">
        <v>974</v>
      </c>
      <c r="V173" s="79" t="s">
        <v>707</v>
      </c>
      <c r="W173" s="79" t="s">
        <v>975</v>
      </c>
      <c r="Y173" s="79" t="s">
        <v>2514</v>
      </c>
    </row>
    <row r="174" spans="2:25" ht="12.75" customHeight="1" x14ac:dyDescent="0.2">
      <c r="B174" s="106" t="s">
        <v>2519</v>
      </c>
      <c r="C174" s="106" t="s">
        <v>2519</v>
      </c>
      <c r="D174" s="106" t="s">
        <v>2518</v>
      </c>
      <c r="E174" s="107" t="str">
        <f t="shared" si="5"/>
        <v>CLEVELAND, OH, 44113</v>
      </c>
      <c r="F174" s="106" t="s">
        <v>2518</v>
      </c>
      <c r="G174" s="106" t="s">
        <v>986</v>
      </c>
      <c r="H174" s="106" t="s">
        <v>2759</v>
      </c>
      <c r="I174" s="106" t="s">
        <v>2760</v>
      </c>
      <c r="J174" s="106" t="s">
        <v>843</v>
      </c>
      <c r="K174" s="106" t="s">
        <v>707</v>
      </c>
      <c r="L174" s="106" t="s">
        <v>955</v>
      </c>
      <c r="N174" s="91">
        <f t="shared" si="6"/>
        <v>1</v>
      </c>
      <c r="O174" s="79" t="s">
        <v>2513</v>
      </c>
      <c r="P174" s="79" t="s">
        <v>2513</v>
      </c>
      <c r="Q174" s="79" t="s">
        <v>2512</v>
      </c>
      <c r="R174" s="79" t="s">
        <v>2759</v>
      </c>
      <c r="S174" s="79" t="s">
        <v>2760</v>
      </c>
      <c r="T174" s="79" t="s">
        <v>969</v>
      </c>
      <c r="U174" s="79" t="s">
        <v>843</v>
      </c>
      <c r="V174" s="79" t="s">
        <v>707</v>
      </c>
      <c r="W174" s="79" t="s">
        <v>970</v>
      </c>
      <c r="Y174" s="79" t="s">
        <v>2512</v>
      </c>
    </row>
    <row r="175" spans="2:25" ht="12.75" customHeight="1" x14ac:dyDescent="0.2">
      <c r="B175" s="106" t="s">
        <v>2515</v>
      </c>
      <c r="C175" s="106" t="s">
        <v>2515</v>
      </c>
      <c r="D175" s="106" t="s">
        <v>2514</v>
      </c>
      <c r="E175" s="107" t="str">
        <f t="shared" si="5"/>
        <v>LORAIN, OH, 44052</v>
      </c>
      <c r="F175" s="106" t="s">
        <v>2514</v>
      </c>
      <c r="G175" s="106" t="s">
        <v>973</v>
      </c>
      <c r="H175" s="106" t="s">
        <v>2767</v>
      </c>
      <c r="I175" s="106" t="s">
        <v>2816</v>
      </c>
      <c r="J175" s="106" t="s">
        <v>974</v>
      </c>
      <c r="K175" s="106" t="s">
        <v>707</v>
      </c>
      <c r="L175" s="106" t="s">
        <v>975</v>
      </c>
      <c r="N175" s="91">
        <f t="shared" si="6"/>
        <v>1</v>
      </c>
      <c r="O175" s="79" t="s">
        <v>2521</v>
      </c>
      <c r="P175" s="79" t="s">
        <v>2521</v>
      </c>
      <c r="Q175" s="79" t="s">
        <v>2520</v>
      </c>
      <c r="R175" s="79" t="s">
        <v>2759</v>
      </c>
      <c r="S175" s="79" t="s">
        <v>2790</v>
      </c>
      <c r="T175" s="79" t="s">
        <v>989</v>
      </c>
      <c r="U175" s="79" t="s">
        <v>979</v>
      </c>
      <c r="V175" s="79" t="s">
        <v>707</v>
      </c>
      <c r="W175" s="79" t="s">
        <v>980</v>
      </c>
      <c r="Y175" s="79" t="s">
        <v>2520</v>
      </c>
    </row>
    <row r="176" spans="2:25" ht="12.75" customHeight="1" x14ac:dyDescent="0.2">
      <c r="B176" s="106" t="s">
        <v>2513</v>
      </c>
      <c r="C176" s="106" t="s">
        <v>2513</v>
      </c>
      <c r="D176" s="106" t="s">
        <v>2512</v>
      </c>
      <c r="E176" s="107" t="str">
        <f t="shared" si="5"/>
        <v>CLEVELAND, OH, 44115</v>
      </c>
      <c r="F176" s="106" t="s">
        <v>2512</v>
      </c>
      <c r="G176" s="106" t="s">
        <v>969</v>
      </c>
      <c r="H176" s="106" t="s">
        <v>2759</v>
      </c>
      <c r="I176" s="106" t="s">
        <v>2760</v>
      </c>
      <c r="J176" s="106" t="s">
        <v>843</v>
      </c>
      <c r="K176" s="106" t="s">
        <v>707</v>
      </c>
      <c r="L176" s="106" t="s">
        <v>970</v>
      </c>
      <c r="N176" s="91">
        <f t="shared" si="6"/>
        <v>1</v>
      </c>
      <c r="O176" s="79" t="s">
        <v>2517</v>
      </c>
      <c r="P176" s="79" t="s">
        <v>2517</v>
      </c>
      <c r="Q176" s="79" t="s">
        <v>2516</v>
      </c>
      <c r="R176" s="79" t="s">
        <v>2759</v>
      </c>
      <c r="S176" s="79" t="s">
        <v>2761</v>
      </c>
      <c r="T176" s="79" t="s">
        <v>983</v>
      </c>
      <c r="U176" s="79" t="s">
        <v>965</v>
      </c>
      <c r="V176" s="79" t="s">
        <v>707</v>
      </c>
      <c r="W176" s="79" t="s">
        <v>966</v>
      </c>
      <c r="Y176" s="79" t="s">
        <v>2516</v>
      </c>
    </row>
    <row r="177" spans="2:25" ht="12.75" customHeight="1" x14ac:dyDescent="0.2">
      <c r="B177" s="106" t="s">
        <v>2521</v>
      </c>
      <c r="C177" s="106" t="s">
        <v>2521</v>
      </c>
      <c r="D177" s="106" t="s">
        <v>2520</v>
      </c>
      <c r="E177" s="107" t="str">
        <f t="shared" si="5"/>
        <v>ASHTABULA, OH, 44004</v>
      </c>
      <c r="F177" s="106" t="s">
        <v>2520</v>
      </c>
      <c r="G177" s="106" t="s">
        <v>989</v>
      </c>
      <c r="H177" s="106" t="s">
        <v>2759</v>
      </c>
      <c r="I177" s="106" t="s">
        <v>2790</v>
      </c>
      <c r="J177" s="106" t="s">
        <v>979</v>
      </c>
      <c r="K177" s="106" t="s">
        <v>707</v>
      </c>
      <c r="L177" s="106" t="s">
        <v>980</v>
      </c>
      <c r="N177" s="91">
        <f t="shared" si="6"/>
        <v>1</v>
      </c>
      <c r="O177" s="79" t="s">
        <v>2509</v>
      </c>
      <c r="P177" s="79" t="s">
        <v>2509</v>
      </c>
      <c r="Q177" s="79" t="s">
        <v>2508</v>
      </c>
      <c r="R177" s="79" t="s">
        <v>2759</v>
      </c>
      <c r="S177" s="79" t="s">
        <v>2760</v>
      </c>
      <c r="T177" s="79" t="s">
        <v>961</v>
      </c>
      <c r="U177" s="79" t="s">
        <v>843</v>
      </c>
      <c r="V177" s="79" t="s">
        <v>707</v>
      </c>
      <c r="W177" s="79" t="s">
        <v>955</v>
      </c>
      <c r="Y177" s="79" t="s">
        <v>2508</v>
      </c>
    </row>
    <row r="178" spans="2:25" ht="12.75" customHeight="1" x14ac:dyDescent="0.2">
      <c r="B178" s="106" t="s">
        <v>2517</v>
      </c>
      <c r="C178" s="106" t="s">
        <v>2517</v>
      </c>
      <c r="D178" s="106" t="s">
        <v>2516</v>
      </c>
      <c r="E178" s="107" t="str">
        <f t="shared" si="5"/>
        <v>GRAND RIVER, OH, 44045</v>
      </c>
      <c r="F178" s="106" t="s">
        <v>2516</v>
      </c>
      <c r="G178" s="106" t="s">
        <v>983</v>
      </c>
      <c r="H178" s="106" t="s">
        <v>2759</v>
      </c>
      <c r="I178" s="106" t="s">
        <v>2761</v>
      </c>
      <c r="J178" s="106" t="s">
        <v>965</v>
      </c>
      <c r="K178" s="106" t="s">
        <v>707</v>
      </c>
      <c r="L178" s="106" t="s">
        <v>966</v>
      </c>
      <c r="N178" s="91">
        <f t="shared" si="6"/>
        <v>1</v>
      </c>
      <c r="O178" s="79" t="s">
        <v>948</v>
      </c>
      <c r="P178" s="79" t="s">
        <v>948</v>
      </c>
      <c r="Q178" s="79" t="s">
        <v>947</v>
      </c>
      <c r="R178" s="79" t="s">
        <v>2772</v>
      </c>
      <c r="S178" s="79" t="s">
        <v>2803</v>
      </c>
      <c r="T178" s="79" t="s">
        <v>949</v>
      </c>
      <c r="U178" s="79" t="s">
        <v>950</v>
      </c>
      <c r="V178" s="79" t="s">
        <v>707</v>
      </c>
      <c r="W178" s="79" t="s">
        <v>951</v>
      </c>
      <c r="Y178" s="79" t="s">
        <v>947</v>
      </c>
    </row>
    <row r="179" spans="2:25" ht="12.75" customHeight="1" x14ac:dyDescent="0.2">
      <c r="B179" s="106" t="s">
        <v>2509</v>
      </c>
      <c r="C179" s="106" t="s">
        <v>2509</v>
      </c>
      <c r="D179" s="106" t="s">
        <v>2508</v>
      </c>
      <c r="E179" s="107" t="str">
        <f t="shared" si="5"/>
        <v>CLEVELAND, OH, 44113</v>
      </c>
      <c r="F179" s="106" t="s">
        <v>2508</v>
      </c>
      <c r="G179" s="106" t="s">
        <v>961</v>
      </c>
      <c r="H179" s="106" t="s">
        <v>2759</v>
      </c>
      <c r="I179" s="106" t="s">
        <v>2760</v>
      </c>
      <c r="J179" s="106" t="s">
        <v>843</v>
      </c>
      <c r="K179" s="106" t="s">
        <v>707</v>
      </c>
      <c r="L179" s="106" t="s">
        <v>955</v>
      </c>
      <c r="N179" s="91">
        <f t="shared" si="6"/>
        <v>1</v>
      </c>
      <c r="O179" s="79" t="s">
        <v>960</v>
      </c>
      <c r="P179" s="79" t="s">
        <v>960</v>
      </c>
      <c r="Q179" s="79" t="s">
        <v>959</v>
      </c>
      <c r="R179" s="79" t="s">
        <v>2759</v>
      </c>
      <c r="S179" s="79" t="s">
        <v>2760</v>
      </c>
      <c r="T179" s="79" t="s">
        <v>961</v>
      </c>
      <c r="U179" s="79" t="s">
        <v>843</v>
      </c>
      <c r="V179" s="79" t="s">
        <v>707</v>
      </c>
      <c r="W179" s="79" t="s">
        <v>955</v>
      </c>
      <c r="Y179" s="79" t="s">
        <v>959</v>
      </c>
    </row>
    <row r="180" spans="2:25" ht="12.75" customHeight="1" x14ac:dyDescent="0.2">
      <c r="B180" s="106" t="s">
        <v>948</v>
      </c>
      <c r="C180" s="106" t="s">
        <v>948</v>
      </c>
      <c r="D180" s="106" t="s">
        <v>947</v>
      </c>
      <c r="E180" s="107" t="str">
        <f t="shared" si="5"/>
        <v>MARBLEHEAD, OH, 43440</v>
      </c>
      <c r="F180" s="106" t="s">
        <v>947</v>
      </c>
      <c r="G180" s="106" t="s">
        <v>949</v>
      </c>
      <c r="H180" s="106" t="s">
        <v>2772</v>
      </c>
      <c r="I180" s="106" t="s">
        <v>2803</v>
      </c>
      <c r="J180" s="106" t="s">
        <v>950</v>
      </c>
      <c r="K180" s="106" t="s">
        <v>707</v>
      </c>
      <c r="L180" s="106" t="s">
        <v>951</v>
      </c>
      <c r="N180" s="91">
        <f t="shared" si="6"/>
        <v>1</v>
      </c>
      <c r="O180" s="79" t="s">
        <v>957</v>
      </c>
      <c r="P180" s="79" t="s">
        <v>957</v>
      </c>
      <c r="Q180" s="79" t="s">
        <v>956</v>
      </c>
      <c r="R180" s="79" t="s">
        <v>2759</v>
      </c>
      <c r="S180" s="79" t="s">
        <v>2760</v>
      </c>
      <c r="T180" s="79" t="s">
        <v>958</v>
      </c>
      <c r="U180" s="79" t="s">
        <v>843</v>
      </c>
      <c r="V180" s="79" t="s">
        <v>707</v>
      </c>
      <c r="W180" s="79" t="s">
        <v>955</v>
      </c>
      <c r="Y180" s="79" t="s">
        <v>956</v>
      </c>
    </row>
    <row r="181" spans="2:25" ht="12.75" customHeight="1" x14ac:dyDescent="0.2">
      <c r="B181" s="106" t="s">
        <v>960</v>
      </c>
      <c r="C181" s="106" t="s">
        <v>960</v>
      </c>
      <c r="D181" s="106" t="s">
        <v>959</v>
      </c>
      <c r="E181" s="107" t="str">
        <f t="shared" si="5"/>
        <v>CLEVELAND, OH, 44113</v>
      </c>
      <c r="F181" s="106" t="s">
        <v>959</v>
      </c>
      <c r="G181" s="106" t="s">
        <v>961</v>
      </c>
      <c r="H181" s="106" t="s">
        <v>2759</v>
      </c>
      <c r="I181" s="106" t="s">
        <v>2760</v>
      </c>
      <c r="J181" s="106" t="s">
        <v>843</v>
      </c>
      <c r="K181" s="106" t="s">
        <v>707</v>
      </c>
      <c r="L181" s="106" t="s">
        <v>955</v>
      </c>
      <c r="N181" s="91">
        <f t="shared" si="6"/>
        <v>1</v>
      </c>
      <c r="O181" s="79" t="s">
        <v>968</v>
      </c>
      <c r="P181" s="79" t="s">
        <v>968</v>
      </c>
      <c r="Q181" s="79" t="s">
        <v>967</v>
      </c>
      <c r="R181" s="79" t="s">
        <v>2759</v>
      </c>
      <c r="S181" s="79" t="s">
        <v>2760</v>
      </c>
      <c r="T181" s="79" t="s">
        <v>969</v>
      </c>
      <c r="U181" s="79" t="s">
        <v>843</v>
      </c>
      <c r="V181" s="79" t="s">
        <v>707</v>
      </c>
      <c r="W181" s="79" t="s">
        <v>970</v>
      </c>
      <c r="Y181" s="79" t="s">
        <v>967</v>
      </c>
    </row>
    <row r="182" spans="2:25" ht="12.75" customHeight="1" x14ac:dyDescent="0.2">
      <c r="B182" s="106" t="s">
        <v>957</v>
      </c>
      <c r="C182" s="106" t="s">
        <v>957</v>
      </c>
      <c r="D182" s="106" t="s">
        <v>956</v>
      </c>
      <c r="E182" s="107" t="str">
        <f t="shared" si="5"/>
        <v>CLEVELAND, OH, 44113</v>
      </c>
      <c r="F182" s="106" t="s">
        <v>956</v>
      </c>
      <c r="G182" s="106" t="s">
        <v>958</v>
      </c>
      <c r="H182" s="106" t="s">
        <v>2759</v>
      </c>
      <c r="I182" s="106" t="s">
        <v>2760</v>
      </c>
      <c r="J182" s="106" t="s">
        <v>843</v>
      </c>
      <c r="K182" s="106" t="s">
        <v>707</v>
      </c>
      <c r="L182" s="106" t="s">
        <v>955</v>
      </c>
      <c r="N182" s="91">
        <f t="shared" si="6"/>
        <v>1</v>
      </c>
      <c r="O182" s="79" t="s">
        <v>963</v>
      </c>
      <c r="P182" s="79" t="s">
        <v>963</v>
      </c>
      <c r="Q182" s="79" t="s">
        <v>962</v>
      </c>
      <c r="R182" s="79" t="s">
        <v>2759</v>
      </c>
      <c r="S182" s="79" t="s">
        <v>2761</v>
      </c>
      <c r="T182" s="79" t="s">
        <v>964</v>
      </c>
      <c r="U182" s="79" t="s">
        <v>965</v>
      </c>
      <c r="V182" s="79" t="s">
        <v>707</v>
      </c>
      <c r="W182" s="79" t="s">
        <v>966</v>
      </c>
      <c r="Y182" s="79" t="s">
        <v>962</v>
      </c>
    </row>
    <row r="183" spans="2:25" ht="12.75" customHeight="1" x14ac:dyDescent="0.2">
      <c r="B183" s="106" t="s">
        <v>968</v>
      </c>
      <c r="C183" s="106" t="s">
        <v>968</v>
      </c>
      <c r="D183" s="106" t="s">
        <v>967</v>
      </c>
      <c r="E183" s="107" t="str">
        <f t="shared" si="5"/>
        <v>CLEVELAND, OH, 44115</v>
      </c>
      <c r="F183" s="106" t="s">
        <v>967</v>
      </c>
      <c r="G183" s="106" t="s">
        <v>969</v>
      </c>
      <c r="H183" s="106" t="s">
        <v>2759</v>
      </c>
      <c r="I183" s="106" t="s">
        <v>2760</v>
      </c>
      <c r="J183" s="106" t="s">
        <v>843</v>
      </c>
      <c r="K183" s="106" t="s">
        <v>707</v>
      </c>
      <c r="L183" s="106" t="s">
        <v>970</v>
      </c>
      <c r="N183" s="91">
        <f t="shared" si="6"/>
        <v>1</v>
      </c>
      <c r="O183" s="79" t="s">
        <v>985</v>
      </c>
      <c r="P183" s="79" t="s">
        <v>985</v>
      </c>
      <c r="Q183" s="79" t="s">
        <v>984</v>
      </c>
      <c r="R183" s="79" t="s">
        <v>2759</v>
      </c>
      <c r="S183" s="79" t="s">
        <v>2760</v>
      </c>
      <c r="T183" s="79" t="s">
        <v>986</v>
      </c>
      <c r="U183" s="79" t="s">
        <v>843</v>
      </c>
      <c r="V183" s="79" t="s">
        <v>707</v>
      </c>
      <c r="W183" s="79" t="s">
        <v>955</v>
      </c>
      <c r="Y183" s="79" t="s">
        <v>984</v>
      </c>
    </row>
    <row r="184" spans="2:25" ht="12.75" customHeight="1" x14ac:dyDescent="0.2">
      <c r="B184" s="106" t="s">
        <v>963</v>
      </c>
      <c r="C184" s="106" t="s">
        <v>963</v>
      </c>
      <c r="D184" s="106" t="s">
        <v>962</v>
      </c>
      <c r="E184" s="107" t="str">
        <f t="shared" si="5"/>
        <v>GRAND RIVER, OH, 44045</v>
      </c>
      <c r="F184" s="106" t="s">
        <v>962</v>
      </c>
      <c r="G184" s="106" t="s">
        <v>964</v>
      </c>
      <c r="H184" s="106" t="s">
        <v>2759</v>
      </c>
      <c r="I184" s="106" t="s">
        <v>2761</v>
      </c>
      <c r="J184" s="106" t="s">
        <v>965</v>
      </c>
      <c r="K184" s="106" t="s">
        <v>707</v>
      </c>
      <c r="L184" s="106" t="s">
        <v>966</v>
      </c>
      <c r="N184" s="91">
        <f t="shared" si="6"/>
        <v>1</v>
      </c>
      <c r="O184" s="79" t="s">
        <v>972</v>
      </c>
      <c r="P184" s="79" t="s">
        <v>972</v>
      </c>
      <c r="Q184" s="79" t="s">
        <v>971</v>
      </c>
      <c r="R184" s="79" t="s">
        <v>2767</v>
      </c>
      <c r="S184" s="79" t="s">
        <v>2816</v>
      </c>
      <c r="T184" s="79" t="s">
        <v>973</v>
      </c>
      <c r="U184" s="79" t="s">
        <v>974</v>
      </c>
      <c r="V184" s="79" t="s">
        <v>707</v>
      </c>
      <c r="W184" s="79" t="s">
        <v>975</v>
      </c>
      <c r="Y184" s="79" t="s">
        <v>971</v>
      </c>
    </row>
    <row r="185" spans="2:25" ht="12.75" customHeight="1" x14ac:dyDescent="0.2">
      <c r="B185" s="106" t="s">
        <v>985</v>
      </c>
      <c r="C185" s="106" t="s">
        <v>985</v>
      </c>
      <c r="D185" s="106" t="s">
        <v>984</v>
      </c>
      <c r="E185" s="107" t="str">
        <f t="shared" si="5"/>
        <v>CLEVELAND, OH, 44113</v>
      </c>
      <c r="F185" s="106" t="s">
        <v>984</v>
      </c>
      <c r="G185" s="106" t="s">
        <v>986</v>
      </c>
      <c r="H185" s="106" t="s">
        <v>2759</v>
      </c>
      <c r="I185" s="106" t="s">
        <v>2760</v>
      </c>
      <c r="J185" s="106" t="s">
        <v>843</v>
      </c>
      <c r="K185" s="106" t="s">
        <v>707</v>
      </c>
      <c r="L185" s="106" t="s">
        <v>955</v>
      </c>
      <c r="N185" s="91">
        <f t="shared" si="6"/>
        <v>1</v>
      </c>
      <c r="O185" s="79" t="s">
        <v>977</v>
      </c>
      <c r="P185" s="79" t="s">
        <v>977</v>
      </c>
      <c r="Q185" s="79" t="s">
        <v>976</v>
      </c>
      <c r="R185" s="79" t="s">
        <v>2762</v>
      </c>
      <c r="S185" s="79" t="s">
        <v>2790</v>
      </c>
      <c r="T185" s="79" t="s">
        <v>978</v>
      </c>
      <c r="U185" s="79" t="s">
        <v>979</v>
      </c>
      <c r="V185" s="79" t="s">
        <v>707</v>
      </c>
      <c r="W185" s="79" t="s">
        <v>980</v>
      </c>
      <c r="Y185" s="79" t="s">
        <v>976</v>
      </c>
    </row>
    <row r="186" spans="2:25" ht="12.75" customHeight="1" x14ac:dyDescent="0.2">
      <c r="B186" s="106" t="s">
        <v>972</v>
      </c>
      <c r="C186" s="106" t="s">
        <v>972</v>
      </c>
      <c r="D186" s="106" t="s">
        <v>971</v>
      </c>
      <c r="E186" s="107" t="str">
        <f t="shared" si="5"/>
        <v>LORAIN, OH, 44052</v>
      </c>
      <c r="F186" s="106" t="s">
        <v>971</v>
      </c>
      <c r="G186" s="106" t="s">
        <v>973</v>
      </c>
      <c r="H186" s="106" t="s">
        <v>2767</v>
      </c>
      <c r="I186" s="106" t="s">
        <v>2816</v>
      </c>
      <c r="J186" s="106" t="s">
        <v>974</v>
      </c>
      <c r="K186" s="106" t="s">
        <v>707</v>
      </c>
      <c r="L186" s="106" t="s">
        <v>975</v>
      </c>
      <c r="N186" s="91">
        <f t="shared" si="6"/>
        <v>1</v>
      </c>
      <c r="O186" s="79" t="s">
        <v>988</v>
      </c>
      <c r="P186" s="79" t="s">
        <v>988</v>
      </c>
      <c r="Q186" s="79" t="s">
        <v>987</v>
      </c>
      <c r="R186" s="79" t="s">
        <v>2759</v>
      </c>
      <c r="S186" s="79" t="s">
        <v>2790</v>
      </c>
      <c r="T186" s="79" t="s">
        <v>989</v>
      </c>
      <c r="U186" s="79" t="s">
        <v>979</v>
      </c>
      <c r="V186" s="79" t="s">
        <v>707</v>
      </c>
      <c r="W186" s="79" t="s">
        <v>980</v>
      </c>
      <c r="Y186" s="79" t="s">
        <v>987</v>
      </c>
    </row>
    <row r="187" spans="2:25" ht="12.75" customHeight="1" x14ac:dyDescent="0.2">
      <c r="B187" s="106" t="s">
        <v>988</v>
      </c>
      <c r="C187" s="106" t="s">
        <v>988</v>
      </c>
      <c r="D187" s="106" t="s">
        <v>987</v>
      </c>
      <c r="E187" s="107" t="str">
        <f t="shared" si="5"/>
        <v>ASHTABULA, OH, 44004</v>
      </c>
      <c r="F187" s="106" t="s">
        <v>987</v>
      </c>
      <c r="G187" s="106" t="s">
        <v>989</v>
      </c>
      <c r="H187" s="106" t="s">
        <v>2759</v>
      </c>
      <c r="I187" s="106" t="s">
        <v>2790</v>
      </c>
      <c r="J187" s="106" t="s">
        <v>979</v>
      </c>
      <c r="K187" s="106" t="s">
        <v>707</v>
      </c>
      <c r="L187" s="106" t="s">
        <v>980</v>
      </c>
      <c r="N187" s="91">
        <f t="shared" si="6"/>
        <v>1</v>
      </c>
      <c r="O187" s="79" t="s">
        <v>982</v>
      </c>
      <c r="P187" s="79" t="s">
        <v>982</v>
      </c>
      <c r="Q187" s="79" t="s">
        <v>981</v>
      </c>
      <c r="R187" s="79" t="s">
        <v>2759</v>
      </c>
      <c r="S187" s="79" t="s">
        <v>2761</v>
      </c>
      <c r="T187" s="79" t="s">
        <v>983</v>
      </c>
      <c r="U187" s="79" t="s">
        <v>965</v>
      </c>
      <c r="V187" s="79" t="s">
        <v>707</v>
      </c>
      <c r="W187" s="79" t="s">
        <v>966</v>
      </c>
      <c r="Y187" s="79" t="s">
        <v>981</v>
      </c>
    </row>
    <row r="188" spans="2:25" ht="12.75" customHeight="1" x14ac:dyDescent="0.2">
      <c r="B188" s="106" t="s">
        <v>982</v>
      </c>
      <c r="C188" s="106" t="s">
        <v>982</v>
      </c>
      <c r="D188" s="106" t="s">
        <v>981</v>
      </c>
      <c r="E188" s="107" t="str">
        <f t="shared" si="5"/>
        <v>GRAND RIVER, OH, 44045</v>
      </c>
      <c r="F188" s="106" t="s">
        <v>981</v>
      </c>
      <c r="G188" s="106" t="s">
        <v>983</v>
      </c>
      <c r="H188" s="106" t="s">
        <v>2759</v>
      </c>
      <c r="I188" s="106" t="s">
        <v>2761</v>
      </c>
      <c r="J188" s="106" t="s">
        <v>965</v>
      </c>
      <c r="K188" s="106" t="s">
        <v>707</v>
      </c>
      <c r="L188" s="106" t="s">
        <v>966</v>
      </c>
      <c r="N188" s="91">
        <f t="shared" si="6"/>
        <v>1</v>
      </c>
      <c r="O188" s="79" t="s">
        <v>953</v>
      </c>
      <c r="P188" s="79" t="s">
        <v>953</v>
      </c>
      <c r="Q188" s="79" t="s">
        <v>952</v>
      </c>
      <c r="R188" s="79" t="s">
        <v>2759</v>
      </c>
      <c r="S188" s="79" t="s">
        <v>2760</v>
      </c>
      <c r="T188" s="79" t="s">
        <v>954</v>
      </c>
      <c r="U188" s="79" t="s">
        <v>843</v>
      </c>
      <c r="V188" s="79" t="s">
        <v>707</v>
      </c>
      <c r="W188" s="79" t="s">
        <v>955</v>
      </c>
      <c r="Y188" s="79" t="s">
        <v>952</v>
      </c>
    </row>
    <row r="189" spans="2:25" ht="12.75" customHeight="1" x14ac:dyDescent="0.2">
      <c r="B189" s="106" t="s">
        <v>953</v>
      </c>
      <c r="C189" s="106" t="s">
        <v>953</v>
      </c>
      <c r="D189" s="106" t="s">
        <v>952</v>
      </c>
      <c r="E189" s="107" t="str">
        <f t="shared" si="5"/>
        <v>CLEVELAND, OH, 44113</v>
      </c>
      <c r="F189" s="106" t="s">
        <v>952</v>
      </c>
      <c r="G189" s="106" t="s">
        <v>954</v>
      </c>
      <c r="H189" s="106" t="s">
        <v>2759</v>
      </c>
      <c r="I189" s="106" t="s">
        <v>2760</v>
      </c>
      <c r="J189" s="106" t="s">
        <v>843</v>
      </c>
      <c r="K189" s="106" t="s">
        <v>707</v>
      </c>
      <c r="L189" s="106" t="s">
        <v>955</v>
      </c>
      <c r="N189" s="91">
        <f t="shared" si="6"/>
        <v>1</v>
      </c>
      <c r="O189" s="79" t="s">
        <v>710</v>
      </c>
      <c r="P189" s="79" t="s">
        <v>710</v>
      </c>
      <c r="Q189" s="79" t="s">
        <v>709</v>
      </c>
      <c r="R189" s="79" t="s">
        <v>2804</v>
      </c>
      <c r="S189" s="79" t="s">
        <v>2817</v>
      </c>
      <c r="T189" s="79" t="s">
        <v>711</v>
      </c>
      <c r="U189" s="79" t="s">
        <v>712</v>
      </c>
      <c r="V189" s="79" t="s">
        <v>707</v>
      </c>
      <c r="W189" s="79" t="s">
        <v>713</v>
      </c>
      <c r="Y189" s="79" t="s">
        <v>709</v>
      </c>
    </row>
    <row r="190" spans="2:25" ht="12.75" customHeight="1" x14ac:dyDescent="0.2">
      <c r="B190" s="106" t="s">
        <v>710</v>
      </c>
      <c r="C190" s="106" t="s">
        <v>710</v>
      </c>
      <c r="D190" s="106" t="s">
        <v>709</v>
      </c>
      <c r="E190" s="107" t="str">
        <f t="shared" si="5"/>
        <v>PAULDING, OH, 45879</v>
      </c>
      <c r="F190" s="106" t="s">
        <v>709</v>
      </c>
      <c r="G190" s="106" t="s">
        <v>711</v>
      </c>
      <c r="H190" s="106" t="s">
        <v>2804</v>
      </c>
      <c r="I190" s="106" t="s">
        <v>2817</v>
      </c>
      <c r="J190" s="106" t="s">
        <v>712</v>
      </c>
      <c r="K190" s="106" t="s">
        <v>707</v>
      </c>
      <c r="L190" s="106" t="s">
        <v>713</v>
      </c>
      <c r="N190" s="91">
        <f t="shared" si="6"/>
        <v>1</v>
      </c>
      <c r="O190" s="79" t="s">
        <v>2483</v>
      </c>
      <c r="P190" s="79" t="s">
        <v>2483</v>
      </c>
      <c r="Q190" s="79" t="s">
        <v>2482</v>
      </c>
      <c r="R190" s="79" t="s">
        <v>2759</v>
      </c>
      <c r="S190" s="79" t="s">
        <v>2760</v>
      </c>
      <c r="T190" s="79" t="s">
        <v>954</v>
      </c>
      <c r="U190" s="79" t="s">
        <v>843</v>
      </c>
      <c r="V190" s="79" t="s">
        <v>707</v>
      </c>
      <c r="W190" s="79" t="s">
        <v>955</v>
      </c>
      <c r="Y190" s="79" t="s">
        <v>2482</v>
      </c>
    </row>
    <row r="191" spans="2:25" ht="12.75" customHeight="1" x14ac:dyDescent="0.2">
      <c r="B191" s="106" t="s">
        <v>2483</v>
      </c>
      <c r="C191" s="106" t="s">
        <v>2483</v>
      </c>
      <c r="D191" s="106" t="s">
        <v>2482</v>
      </c>
      <c r="E191" s="107" t="str">
        <f t="shared" si="5"/>
        <v>CLEVELAND, OH, 44113</v>
      </c>
      <c r="F191" s="106" t="s">
        <v>2482</v>
      </c>
      <c r="G191" s="106" t="s">
        <v>954</v>
      </c>
      <c r="H191" s="106" t="s">
        <v>2759</v>
      </c>
      <c r="I191" s="106" t="s">
        <v>2760</v>
      </c>
      <c r="J191" s="106" t="s">
        <v>843</v>
      </c>
      <c r="K191" s="106" t="s">
        <v>707</v>
      </c>
      <c r="L191" s="106" t="s">
        <v>955</v>
      </c>
      <c r="N191" s="91">
        <f t="shared" si="6"/>
        <v>1</v>
      </c>
      <c r="O191" s="79" t="s">
        <v>2494</v>
      </c>
      <c r="P191" s="79" t="s">
        <v>2494</v>
      </c>
      <c r="Q191" s="79" t="s">
        <v>2493</v>
      </c>
      <c r="R191" s="79" t="s">
        <v>2759</v>
      </c>
      <c r="S191" s="79" t="s">
        <v>2760</v>
      </c>
      <c r="T191" s="79" t="s">
        <v>986</v>
      </c>
      <c r="U191" s="79" t="s">
        <v>843</v>
      </c>
      <c r="V191" s="79" t="s">
        <v>707</v>
      </c>
      <c r="W191" s="79" t="s">
        <v>955</v>
      </c>
      <c r="Y191" s="79" t="s">
        <v>2493</v>
      </c>
    </row>
    <row r="192" spans="2:25" ht="12.75" customHeight="1" x14ac:dyDescent="0.2">
      <c r="B192" s="106" t="s">
        <v>2494</v>
      </c>
      <c r="C192" s="106" t="s">
        <v>2494</v>
      </c>
      <c r="D192" s="106" t="s">
        <v>2493</v>
      </c>
      <c r="E192" s="107" t="str">
        <f t="shared" si="5"/>
        <v>CLEVELAND, OH, 44113</v>
      </c>
      <c r="F192" s="106" t="s">
        <v>2493</v>
      </c>
      <c r="G192" s="106" t="s">
        <v>986</v>
      </c>
      <c r="H192" s="106" t="s">
        <v>2759</v>
      </c>
      <c r="I192" s="106" t="s">
        <v>2760</v>
      </c>
      <c r="J192" s="106" t="s">
        <v>843</v>
      </c>
      <c r="K192" s="106" t="s">
        <v>707</v>
      </c>
      <c r="L192" s="106" t="s">
        <v>955</v>
      </c>
      <c r="N192" s="91">
        <f t="shared" si="6"/>
        <v>1</v>
      </c>
      <c r="O192" s="79" t="s">
        <v>2492</v>
      </c>
      <c r="P192" s="79" t="s">
        <v>2492</v>
      </c>
      <c r="Q192" s="79" t="s">
        <v>2491</v>
      </c>
      <c r="R192" s="79" t="s">
        <v>2767</v>
      </c>
      <c r="S192" s="79" t="s">
        <v>2816</v>
      </c>
      <c r="T192" s="79" t="s">
        <v>973</v>
      </c>
      <c r="U192" s="79" t="s">
        <v>974</v>
      </c>
      <c r="V192" s="79" t="s">
        <v>707</v>
      </c>
      <c r="W192" s="79" t="s">
        <v>975</v>
      </c>
      <c r="Y192" s="79" t="s">
        <v>2491</v>
      </c>
    </row>
    <row r="193" spans="2:25" ht="12.75" customHeight="1" x14ac:dyDescent="0.2">
      <c r="B193" s="106" t="s">
        <v>2492</v>
      </c>
      <c r="C193" s="106" t="s">
        <v>2492</v>
      </c>
      <c r="D193" s="106" t="s">
        <v>2491</v>
      </c>
      <c r="E193" s="107" t="str">
        <f t="shared" si="5"/>
        <v>LORAIN, OH, 44052</v>
      </c>
      <c r="F193" s="106" t="s">
        <v>2491</v>
      </c>
      <c r="G193" s="106" t="s">
        <v>973</v>
      </c>
      <c r="H193" s="106" t="s">
        <v>2767</v>
      </c>
      <c r="I193" s="106" t="s">
        <v>2816</v>
      </c>
      <c r="J193" s="106" t="s">
        <v>974</v>
      </c>
      <c r="K193" s="106" t="s">
        <v>707</v>
      </c>
      <c r="L193" s="106" t="s">
        <v>975</v>
      </c>
      <c r="N193" s="91">
        <f t="shared" si="6"/>
        <v>1</v>
      </c>
      <c r="O193" s="79" t="s">
        <v>2490</v>
      </c>
      <c r="P193" s="79" t="s">
        <v>2490</v>
      </c>
      <c r="Q193" s="79" t="s">
        <v>2489</v>
      </c>
      <c r="R193" s="79" t="s">
        <v>2759</v>
      </c>
      <c r="S193" s="79" t="s">
        <v>2760</v>
      </c>
      <c r="T193" s="79" t="s">
        <v>969</v>
      </c>
      <c r="U193" s="79" t="s">
        <v>843</v>
      </c>
      <c r="V193" s="79" t="s">
        <v>707</v>
      </c>
      <c r="W193" s="79" t="s">
        <v>970</v>
      </c>
      <c r="Y193" s="79" t="s">
        <v>2489</v>
      </c>
    </row>
    <row r="194" spans="2:25" ht="12.75" customHeight="1" x14ac:dyDescent="0.2">
      <c r="B194" s="106" t="s">
        <v>2490</v>
      </c>
      <c r="C194" s="106" t="s">
        <v>2490</v>
      </c>
      <c r="D194" s="106" t="s">
        <v>2489</v>
      </c>
      <c r="E194" s="107" t="str">
        <f t="shared" ref="E194:E257" si="7">CONCATENATE(J194,", ",K194,", ",L194)</f>
        <v>CLEVELAND, OH, 44115</v>
      </c>
      <c r="F194" s="106" t="s">
        <v>2489</v>
      </c>
      <c r="G194" s="106" t="s">
        <v>969</v>
      </c>
      <c r="H194" s="106" t="s">
        <v>2759</v>
      </c>
      <c r="I194" s="106" t="s">
        <v>2760</v>
      </c>
      <c r="J194" s="106" t="s">
        <v>843</v>
      </c>
      <c r="K194" s="106" t="s">
        <v>707</v>
      </c>
      <c r="L194" s="106" t="s">
        <v>970</v>
      </c>
      <c r="N194" s="91">
        <f t="shared" si="6"/>
        <v>1</v>
      </c>
      <c r="O194" s="79" t="s">
        <v>2485</v>
      </c>
      <c r="P194" s="79" t="s">
        <v>2485</v>
      </c>
      <c r="Q194" s="79" t="s">
        <v>2484</v>
      </c>
      <c r="R194" s="79" t="s">
        <v>2759</v>
      </c>
      <c r="S194" s="79" t="s">
        <v>2761</v>
      </c>
      <c r="T194" s="79" t="s">
        <v>2486</v>
      </c>
      <c r="U194" s="79" t="s">
        <v>2487</v>
      </c>
      <c r="V194" s="79" t="s">
        <v>707</v>
      </c>
      <c r="W194" s="79" t="s">
        <v>2488</v>
      </c>
      <c r="Y194" s="79" t="s">
        <v>2484</v>
      </c>
    </row>
    <row r="195" spans="2:25" ht="12.75" customHeight="1" x14ac:dyDescent="0.2">
      <c r="B195" s="106" t="s">
        <v>2485</v>
      </c>
      <c r="C195" s="106" t="s">
        <v>2485</v>
      </c>
      <c r="D195" s="106" t="s">
        <v>2484</v>
      </c>
      <c r="E195" s="107" t="str">
        <f t="shared" si="7"/>
        <v>GRAND RIVER, OH, 44045</v>
      </c>
      <c r="F195" s="106" t="s">
        <v>2484</v>
      </c>
      <c r="G195" s="106" t="s">
        <v>964</v>
      </c>
      <c r="H195" s="106" t="s">
        <v>2759</v>
      </c>
      <c r="I195" s="106" t="s">
        <v>2761</v>
      </c>
      <c r="J195" s="106" t="s">
        <v>965</v>
      </c>
      <c r="K195" s="106" t="s">
        <v>707</v>
      </c>
      <c r="L195" s="106" t="s">
        <v>966</v>
      </c>
      <c r="N195" s="91">
        <f t="shared" si="6"/>
        <v>1</v>
      </c>
      <c r="O195" s="79" t="s">
        <v>1316</v>
      </c>
      <c r="P195" s="79" t="s">
        <v>1316</v>
      </c>
      <c r="Q195" s="79" t="s">
        <v>1315</v>
      </c>
      <c r="R195" s="79" t="s">
        <v>2762</v>
      </c>
      <c r="S195" s="79" t="s">
        <v>2774</v>
      </c>
      <c r="T195" s="79" t="s">
        <v>1317</v>
      </c>
      <c r="U195" s="79" t="s">
        <v>1273</v>
      </c>
      <c r="V195" s="79" t="s">
        <v>707</v>
      </c>
      <c r="W195" s="79" t="s">
        <v>1274</v>
      </c>
      <c r="Y195" s="79" t="s">
        <v>1315</v>
      </c>
    </row>
    <row r="196" spans="2:25" ht="12.75" customHeight="1" x14ac:dyDescent="0.2">
      <c r="B196" s="106" t="s">
        <v>1316</v>
      </c>
      <c r="C196" s="106" t="s">
        <v>1316</v>
      </c>
      <c r="D196" s="106" t="s">
        <v>1315</v>
      </c>
      <c r="E196" s="107" t="str">
        <f t="shared" si="7"/>
        <v>MANTUA, OH, 44255</v>
      </c>
      <c r="F196" s="106" t="s">
        <v>1315</v>
      </c>
      <c r="G196" s="106" t="s">
        <v>1317</v>
      </c>
      <c r="H196" s="106" t="s">
        <v>2762</v>
      </c>
      <c r="I196" s="106" t="s">
        <v>2774</v>
      </c>
      <c r="J196" s="106" t="s">
        <v>1273</v>
      </c>
      <c r="K196" s="106" t="s">
        <v>707</v>
      </c>
      <c r="L196" s="106" t="s">
        <v>1274</v>
      </c>
      <c r="N196" s="91">
        <f t="shared" si="6"/>
        <v>1</v>
      </c>
      <c r="O196" s="79" t="s">
        <v>1321</v>
      </c>
      <c r="P196" s="79" t="s">
        <v>1321</v>
      </c>
      <c r="Q196" s="79" t="s">
        <v>1320</v>
      </c>
      <c r="R196" s="79" t="s">
        <v>2762</v>
      </c>
      <c r="S196" s="79" t="s">
        <v>2769</v>
      </c>
      <c r="T196" s="79" t="s">
        <v>1322</v>
      </c>
      <c r="U196" s="79" t="s">
        <v>1323</v>
      </c>
      <c r="V196" s="79" t="s">
        <v>707</v>
      </c>
      <c r="W196" s="79" t="s">
        <v>1324</v>
      </c>
      <c r="Y196" s="79" t="s">
        <v>1320</v>
      </c>
    </row>
    <row r="197" spans="2:25" ht="12.75" customHeight="1" x14ac:dyDescent="0.2">
      <c r="B197" s="106" t="s">
        <v>1321</v>
      </c>
      <c r="C197" s="106" t="s">
        <v>1321</v>
      </c>
      <c r="D197" s="106" t="s">
        <v>1320</v>
      </c>
      <c r="E197" s="107" t="str">
        <f t="shared" si="7"/>
        <v>NORTH JACKSON, OH, 44451</v>
      </c>
      <c r="F197" s="106" t="s">
        <v>1320</v>
      </c>
      <c r="G197" s="106" t="s">
        <v>1322</v>
      </c>
      <c r="H197" s="106" t="s">
        <v>2762</v>
      </c>
      <c r="I197" s="106" t="s">
        <v>2769</v>
      </c>
      <c r="J197" s="106" t="s">
        <v>1323</v>
      </c>
      <c r="K197" s="106" t="s">
        <v>707</v>
      </c>
      <c r="L197" s="106" t="s">
        <v>1324</v>
      </c>
      <c r="N197" s="91">
        <f t="shared" si="6"/>
        <v>1</v>
      </c>
      <c r="O197" s="79" t="s">
        <v>1319</v>
      </c>
      <c r="P197" s="79" t="s">
        <v>1319</v>
      </c>
      <c r="Q197" s="79" t="s">
        <v>1318</v>
      </c>
      <c r="R197" s="79" t="s">
        <v>2762</v>
      </c>
      <c r="S197" s="79" t="s">
        <v>2769</v>
      </c>
      <c r="T197" s="79" t="s">
        <v>807</v>
      </c>
      <c r="U197" s="79" t="s">
        <v>808</v>
      </c>
      <c r="V197" s="79" t="s">
        <v>707</v>
      </c>
      <c r="W197" s="79" t="s">
        <v>809</v>
      </c>
      <c r="Y197" s="79" t="s">
        <v>1318</v>
      </c>
    </row>
    <row r="198" spans="2:25" ht="12.75" customHeight="1" x14ac:dyDescent="0.2">
      <c r="B198" s="106" t="s">
        <v>1326</v>
      </c>
      <c r="C198" s="106" t="s">
        <v>1326</v>
      </c>
      <c r="D198" s="106" t="s">
        <v>1325</v>
      </c>
      <c r="E198" s="107" t="str">
        <f t="shared" si="7"/>
        <v>CLEVELAND, OH, 44113</v>
      </c>
      <c r="F198" s="106" t="s">
        <v>1325</v>
      </c>
      <c r="G198" s="106" t="s">
        <v>954</v>
      </c>
      <c r="H198" s="106" t="s">
        <v>2759</v>
      </c>
      <c r="I198" s="106" t="s">
        <v>2760</v>
      </c>
      <c r="J198" s="106" t="s">
        <v>843</v>
      </c>
      <c r="K198" s="106" t="s">
        <v>707</v>
      </c>
      <c r="L198" s="106" t="s">
        <v>955</v>
      </c>
      <c r="N198" s="91">
        <f t="shared" si="6"/>
        <v>1</v>
      </c>
      <c r="O198" s="79" t="s">
        <v>1326</v>
      </c>
      <c r="P198" s="79" t="s">
        <v>1326</v>
      </c>
      <c r="Q198" s="79" t="s">
        <v>1325</v>
      </c>
      <c r="R198" s="79" t="s">
        <v>2759</v>
      </c>
      <c r="S198" s="79" t="s">
        <v>2760</v>
      </c>
      <c r="T198" s="79" t="s">
        <v>954</v>
      </c>
      <c r="U198" s="79" t="s">
        <v>843</v>
      </c>
      <c r="V198" s="79" t="s">
        <v>707</v>
      </c>
      <c r="W198" s="79" t="s">
        <v>955</v>
      </c>
      <c r="Y198" s="79" t="s">
        <v>1325</v>
      </c>
    </row>
    <row r="199" spans="2:25" ht="12.75" customHeight="1" x14ac:dyDescent="0.2">
      <c r="B199" s="106" t="s">
        <v>2115</v>
      </c>
      <c r="C199" s="106" t="s">
        <v>2115</v>
      </c>
      <c r="D199" s="106" t="s">
        <v>2114</v>
      </c>
      <c r="E199" s="107" t="str">
        <f t="shared" si="7"/>
        <v>LATHAM, OH, 45646</v>
      </c>
      <c r="F199" s="106" t="s">
        <v>2114</v>
      </c>
      <c r="G199" s="106" t="s">
        <v>2116</v>
      </c>
      <c r="H199" s="106" t="s">
        <v>2780</v>
      </c>
      <c r="I199" s="106" t="s">
        <v>2818</v>
      </c>
      <c r="J199" s="106" t="s">
        <v>2117</v>
      </c>
      <c r="K199" s="106" t="s">
        <v>707</v>
      </c>
      <c r="L199" s="106" t="s">
        <v>2118</v>
      </c>
      <c r="N199" s="91">
        <f t="shared" si="6"/>
        <v>1</v>
      </c>
      <c r="O199" s="79" t="s">
        <v>2115</v>
      </c>
      <c r="P199" s="79" t="s">
        <v>2115</v>
      </c>
      <c r="Q199" s="79" t="s">
        <v>2114</v>
      </c>
      <c r="R199" s="79" t="s">
        <v>2780</v>
      </c>
      <c r="S199" s="79" t="s">
        <v>2818</v>
      </c>
      <c r="T199" s="79" t="s">
        <v>2116</v>
      </c>
      <c r="U199" s="79" t="s">
        <v>2117</v>
      </c>
      <c r="V199" s="79" t="s">
        <v>707</v>
      </c>
      <c r="W199" s="79" t="s">
        <v>2118</v>
      </c>
      <c r="Y199" s="79" t="s">
        <v>2114</v>
      </c>
    </row>
    <row r="200" spans="2:25" ht="12.75" customHeight="1" x14ac:dyDescent="0.2">
      <c r="B200" s="106" t="s">
        <v>2120</v>
      </c>
      <c r="C200" s="106" t="s">
        <v>2120</v>
      </c>
      <c r="D200" s="106" t="s">
        <v>2119</v>
      </c>
      <c r="E200" s="107" t="str">
        <f t="shared" si="7"/>
        <v>ALBANY, OH, 45710</v>
      </c>
      <c r="F200" s="106" t="s">
        <v>2119</v>
      </c>
      <c r="G200" s="106" t="s">
        <v>2121</v>
      </c>
      <c r="H200" s="106" t="s">
        <v>2782</v>
      </c>
      <c r="I200" s="106" t="s">
        <v>2819</v>
      </c>
      <c r="J200" s="106" t="s">
        <v>2122</v>
      </c>
      <c r="K200" s="106" t="s">
        <v>707</v>
      </c>
      <c r="L200" s="106" t="s">
        <v>2123</v>
      </c>
      <c r="N200" s="91">
        <f t="shared" si="6"/>
        <v>1</v>
      </c>
      <c r="O200" s="79" t="s">
        <v>2120</v>
      </c>
      <c r="P200" s="79" t="s">
        <v>2120</v>
      </c>
      <c r="Q200" s="79" t="s">
        <v>2119</v>
      </c>
      <c r="R200" s="79" t="s">
        <v>2782</v>
      </c>
      <c r="S200" s="79" t="s">
        <v>2819</v>
      </c>
      <c r="T200" s="79" t="s">
        <v>2121</v>
      </c>
      <c r="U200" s="79" t="s">
        <v>2122</v>
      </c>
      <c r="V200" s="79" t="s">
        <v>707</v>
      </c>
      <c r="W200" s="79" t="s">
        <v>2123</v>
      </c>
      <c r="Y200" s="79" t="s">
        <v>2119</v>
      </c>
    </row>
    <row r="201" spans="2:25" ht="12.75" customHeight="1" x14ac:dyDescent="0.2">
      <c r="B201" s="106" t="s">
        <v>2125</v>
      </c>
      <c r="C201" s="106" t="s">
        <v>2125</v>
      </c>
      <c r="D201" s="106" t="s">
        <v>2124</v>
      </c>
      <c r="E201" s="107" t="str">
        <f t="shared" si="7"/>
        <v>OAK HILL, OH, 45656</v>
      </c>
      <c r="F201" s="106" t="s">
        <v>2124</v>
      </c>
      <c r="G201" s="106" t="s">
        <v>2126</v>
      </c>
      <c r="H201" s="106" t="s">
        <v>2780</v>
      </c>
      <c r="I201" s="106" t="s">
        <v>2797</v>
      </c>
      <c r="J201" s="106" t="s">
        <v>2127</v>
      </c>
      <c r="K201" s="106" t="s">
        <v>707</v>
      </c>
      <c r="L201" s="106" t="s">
        <v>2128</v>
      </c>
      <c r="N201" s="91">
        <f t="shared" si="6"/>
        <v>1</v>
      </c>
      <c r="O201" s="79" t="s">
        <v>2125</v>
      </c>
      <c r="P201" s="79" t="s">
        <v>2125</v>
      </c>
      <c r="Q201" s="79" t="s">
        <v>2124</v>
      </c>
      <c r="R201" s="79" t="s">
        <v>2780</v>
      </c>
      <c r="S201" s="79" t="s">
        <v>2797</v>
      </c>
      <c r="T201" s="79" t="s">
        <v>2126</v>
      </c>
      <c r="U201" s="79" t="s">
        <v>2127</v>
      </c>
      <c r="V201" s="79" t="s">
        <v>707</v>
      </c>
      <c r="W201" s="79" t="s">
        <v>2128</v>
      </c>
      <c r="Y201" s="79" t="s">
        <v>2124</v>
      </c>
    </row>
    <row r="202" spans="2:25" ht="12.75" customHeight="1" x14ac:dyDescent="0.2">
      <c r="B202" s="106" t="s">
        <v>3139</v>
      </c>
      <c r="C202" s="106" t="s">
        <v>3139</v>
      </c>
      <c r="D202" s="106" t="s">
        <v>3140</v>
      </c>
      <c r="E202" s="107" t="str">
        <f t="shared" si="7"/>
        <v>CONNELSVILLE, PA, 15468</v>
      </c>
      <c r="F202" s="106" t="s">
        <v>3140</v>
      </c>
      <c r="G202" s="106" t="s">
        <v>3141</v>
      </c>
      <c r="H202" s="106" t="s">
        <v>2791</v>
      </c>
      <c r="I202" s="106" t="s">
        <v>2765</v>
      </c>
      <c r="J202" s="106" t="s">
        <v>3142</v>
      </c>
      <c r="K202" s="106" t="s">
        <v>898</v>
      </c>
      <c r="L202" s="106" t="s">
        <v>3143</v>
      </c>
      <c r="N202" s="91">
        <f t="shared" si="6"/>
        <v>1</v>
      </c>
      <c r="O202" s="79" t="s">
        <v>2130</v>
      </c>
      <c r="P202" s="79" t="s">
        <v>2130</v>
      </c>
      <c r="Q202" s="79" t="s">
        <v>2129</v>
      </c>
      <c r="R202" s="79" t="s">
        <v>2780</v>
      </c>
      <c r="S202" s="79" t="s">
        <v>2820</v>
      </c>
      <c r="T202" s="79" t="s">
        <v>2105</v>
      </c>
      <c r="U202" s="79" t="s">
        <v>2131</v>
      </c>
      <c r="V202" s="79" t="s">
        <v>707</v>
      </c>
      <c r="W202" s="79" t="s">
        <v>2094</v>
      </c>
      <c r="Y202" s="79" t="s">
        <v>2129</v>
      </c>
    </row>
    <row r="203" spans="2:25" ht="12.75" customHeight="1" x14ac:dyDescent="0.2">
      <c r="B203" s="106" t="s">
        <v>3163</v>
      </c>
      <c r="C203" s="106" t="s">
        <v>3163</v>
      </c>
      <c r="D203" s="106" t="s">
        <v>3164</v>
      </c>
      <c r="E203" s="107" t="str">
        <f t="shared" si="7"/>
        <v>WICKLIFFE, OH, 44092</v>
      </c>
      <c r="F203" s="106" t="s">
        <v>3164</v>
      </c>
      <c r="G203" s="106" t="s">
        <v>3165</v>
      </c>
      <c r="H203" s="106" t="s">
        <v>2759</v>
      </c>
      <c r="I203" s="106" t="s">
        <v>2761</v>
      </c>
      <c r="J203" s="106" t="s">
        <v>3166</v>
      </c>
      <c r="K203" s="106" t="s">
        <v>707</v>
      </c>
      <c r="L203" s="106" t="s">
        <v>3167</v>
      </c>
      <c r="N203" s="91">
        <f t="shared" si="6"/>
        <v>1</v>
      </c>
      <c r="O203" s="79" t="s">
        <v>1121</v>
      </c>
      <c r="P203" s="79" t="s">
        <v>1121</v>
      </c>
      <c r="Q203" s="79" t="s">
        <v>1120</v>
      </c>
      <c r="R203" s="79" t="s">
        <v>2772</v>
      </c>
      <c r="S203" s="79" t="s">
        <v>2764</v>
      </c>
      <c r="T203" s="79" t="s">
        <v>1122</v>
      </c>
      <c r="U203" s="79" t="s">
        <v>1123</v>
      </c>
      <c r="V203" s="79" t="s">
        <v>723</v>
      </c>
      <c r="W203" s="79" t="s">
        <v>1124</v>
      </c>
      <c r="Y203" s="79" t="s">
        <v>1120</v>
      </c>
    </row>
    <row r="204" spans="2:25" ht="12.75" customHeight="1" x14ac:dyDescent="0.2">
      <c r="B204" s="106" t="s">
        <v>1121</v>
      </c>
      <c r="C204" s="106" t="s">
        <v>1121</v>
      </c>
      <c r="D204" s="106" t="s">
        <v>1120</v>
      </c>
      <c r="E204" s="107" t="str">
        <f t="shared" si="7"/>
        <v>ANGOLA, IN, 46703</v>
      </c>
      <c r="F204" s="106" t="s">
        <v>1120</v>
      </c>
      <c r="G204" s="106" t="s">
        <v>1122</v>
      </c>
      <c r="H204" s="106" t="s">
        <v>2772</v>
      </c>
      <c r="I204" s="106" t="s">
        <v>2764</v>
      </c>
      <c r="J204" s="106" t="s">
        <v>1123</v>
      </c>
      <c r="K204" s="106" t="s">
        <v>723</v>
      </c>
      <c r="L204" s="106" t="s">
        <v>1124</v>
      </c>
      <c r="N204" s="91">
        <f t="shared" si="6"/>
        <v>1</v>
      </c>
      <c r="O204" s="79" t="s">
        <v>1041</v>
      </c>
      <c r="P204" s="79" t="s">
        <v>1041</v>
      </c>
      <c r="Q204" s="79" t="s">
        <v>1040</v>
      </c>
      <c r="R204" s="79" t="s">
        <v>2772</v>
      </c>
      <c r="S204" s="79" t="s">
        <v>2821</v>
      </c>
      <c r="T204" s="79" t="s">
        <v>1042</v>
      </c>
      <c r="U204" s="79" t="s">
        <v>1043</v>
      </c>
      <c r="V204" s="79" t="s">
        <v>707</v>
      </c>
      <c r="W204" s="79" t="s">
        <v>1044</v>
      </c>
      <c r="Y204" s="79" t="s">
        <v>1040</v>
      </c>
    </row>
    <row r="205" spans="2:25" ht="12.75" customHeight="1" x14ac:dyDescent="0.2">
      <c r="B205" s="106" t="s">
        <v>3075</v>
      </c>
      <c r="C205" s="106" t="s">
        <v>3075</v>
      </c>
      <c r="D205" s="106" t="s">
        <v>3076</v>
      </c>
      <c r="E205" s="107" t="str">
        <f t="shared" si="7"/>
        <v>BESSEMER, PA, 16112</v>
      </c>
      <c r="F205" s="106" t="s">
        <v>3076</v>
      </c>
      <c r="G205" s="106" t="s">
        <v>3077</v>
      </c>
      <c r="H205" s="106" t="s">
        <v>2762</v>
      </c>
      <c r="I205" s="106" t="s">
        <v>2764</v>
      </c>
      <c r="J205" s="106" t="s">
        <v>3078</v>
      </c>
      <c r="K205" s="106" t="s">
        <v>898</v>
      </c>
      <c r="L205" s="106" t="s">
        <v>3079</v>
      </c>
      <c r="N205" s="91">
        <f t="shared" si="6"/>
        <v>1</v>
      </c>
      <c r="O205" s="79" t="s">
        <v>2020</v>
      </c>
      <c r="P205" s="79" t="s">
        <v>2020</v>
      </c>
      <c r="Q205" s="79" t="s">
        <v>2019</v>
      </c>
      <c r="R205" s="79" t="s">
        <v>2770</v>
      </c>
      <c r="S205" s="79" t="s">
        <v>2789</v>
      </c>
      <c r="T205" s="79" t="s">
        <v>2021</v>
      </c>
      <c r="U205" s="79" t="s">
        <v>1969</v>
      </c>
      <c r="V205" s="79" t="s">
        <v>707</v>
      </c>
      <c r="W205" s="79" t="s">
        <v>1970</v>
      </c>
      <c r="Y205" s="79" t="s">
        <v>2019</v>
      </c>
    </row>
    <row r="206" spans="2:25" ht="12.75" customHeight="1" x14ac:dyDescent="0.2">
      <c r="B206" s="106" t="s">
        <v>1041</v>
      </c>
      <c r="C206" s="106" t="s">
        <v>1041</v>
      </c>
      <c r="D206" s="106" t="s">
        <v>1040</v>
      </c>
      <c r="E206" s="107" t="str">
        <f t="shared" si="7"/>
        <v>BLOOMVILLE, OH, 44818</v>
      </c>
      <c r="F206" s="106" t="s">
        <v>1040</v>
      </c>
      <c r="G206" s="106" t="s">
        <v>1042</v>
      </c>
      <c r="H206" s="106" t="s">
        <v>2772</v>
      </c>
      <c r="I206" s="106" t="s">
        <v>2821</v>
      </c>
      <c r="J206" s="106" t="s">
        <v>1043</v>
      </c>
      <c r="K206" s="106" t="s">
        <v>707</v>
      </c>
      <c r="L206" s="106" t="s">
        <v>1044</v>
      </c>
      <c r="N206" s="91">
        <f t="shared" si="6"/>
        <v>1</v>
      </c>
      <c r="O206" s="79" t="s">
        <v>2023</v>
      </c>
      <c r="P206" s="79" t="s">
        <v>2023</v>
      </c>
      <c r="Q206" s="79" t="s">
        <v>2022</v>
      </c>
      <c r="R206" s="79" t="s">
        <v>2770</v>
      </c>
      <c r="S206" s="79" t="s">
        <v>2771</v>
      </c>
      <c r="T206" s="79" t="s">
        <v>2024</v>
      </c>
      <c r="U206" s="79" t="s">
        <v>2025</v>
      </c>
      <c r="V206" s="79" t="s">
        <v>707</v>
      </c>
      <c r="W206" s="79" t="s">
        <v>2026</v>
      </c>
      <c r="Y206" s="79" t="s">
        <v>2022</v>
      </c>
    </row>
    <row r="207" spans="2:25" ht="12.75" customHeight="1" x14ac:dyDescent="0.2">
      <c r="B207" s="106" t="s">
        <v>2020</v>
      </c>
      <c r="C207" s="106" t="s">
        <v>2020</v>
      </c>
      <c r="D207" s="106" t="s">
        <v>2019</v>
      </c>
      <c r="E207" s="107" t="str">
        <f t="shared" si="7"/>
        <v>CLEVES, OH, 45002</v>
      </c>
      <c r="F207" s="106" t="s">
        <v>2019</v>
      </c>
      <c r="G207" s="106" t="s">
        <v>2021</v>
      </c>
      <c r="H207" s="106" t="s">
        <v>2770</v>
      </c>
      <c r="I207" s="106" t="s">
        <v>2789</v>
      </c>
      <c r="J207" s="106" t="s">
        <v>1969</v>
      </c>
      <c r="K207" s="106" t="s">
        <v>707</v>
      </c>
      <c r="L207" s="106" t="s">
        <v>1970</v>
      </c>
      <c r="N207" s="91">
        <f t="shared" si="6"/>
        <v>1</v>
      </c>
      <c r="O207" s="79" t="s">
        <v>2162</v>
      </c>
      <c r="P207" s="79" t="s">
        <v>2162</v>
      </c>
      <c r="Q207" s="79" t="s">
        <v>2161</v>
      </c>
      <c r="R207" s="79" t="s">
        <v>2780</v>
      </c>
      <c r="S207" s="79" t="s">
        <v>1920</v>
      </c>
      <c r="T207" s="79" t="s">
        <v>2163</v>
      </c>
      <c r="U207" s="79" t="s">
        <v>2164</v>
      </c>
      <c r="V207" s="79" t="s">
        <v>1920</v>
      </c>
      <c r="W207" s="79" t="s">
        <v>2165</v>
      </c>
      <c r="Y207" s="79" t="s">
        <v>2161</v>
      </c>
    </row>
    <row r="208" spans="2:25" ht="12.75" customHeight="1" x14ac:dyDescent="0.2">
      <c r="B208" s="106" t="s">
        <v>2023</v>
      </c>
      <c r="C208" s="106" t="s">
        <v>2023</v>
      </c>
      <c r="D208" s="106" t="s">
        <v>2022</v>
      </c>
      <c r="E208" s="107" t="str">
        <f t="shared" si="7"/>
        <v>BATAVIA, OH, 45103</v>
      </c>
      <c r="F208" s="106" t="s">
        <v>2022</v>
      </c>
      <c r="G208" s="106" t="s">
        <v>2024</v>
      </c>
      <c r="H208" s="106" t="s">
        <v>2770</v>
      </c>
      <c r="I208" s="106" t="s">
        <v>2771</v>
      </c>
      <c r="J208" s="106" t="s">
        <v>2025</v>
      </c>
      <c r="K208" s="106" t="s">
        <v>707</v>
      </c>
      <c r="L208" s="106" t="s">
        <v>2026</v>
      </c>
      <c r="N208" s="91">
        <f t="shared" si="6"/>
        <v>2</v>
      </c>
      <c r="O208" s="79" t="s">
        <v>2162</v>
      </c>
      <c r="P208" s="79" t="s">
        <v>2162</v>
      </c>
      <c r="Q208" s="79" t="s">
        <v>2724</v>
      </c>
      <c r="R208" s="79" t="s">
        <v>2780</v>
      </c>
      <c r="S208" s="79" t="s">
        <v>1920</v>
      </c>
      <c r="T208" s="79" t="s">
        <v>2163</v>
      </c>
      <c r="U208" s="79" t="s">
        <v>2164</v>
      </c>
      <c r="V208" s="79" t="s">
        <v>1920</v>
      </c>
      <c r="W208" s="79" t="s">
        <v>2165</v>
      </c>
      <c r="Y208" s="79" t="s">
        <v>2724</v>
      </c>
    </row>
    <row r="209" spans="2:25" ht="12.75" customHeight="1" x14ac:dyDescent="0.2">
      <c r="B209" s="106" t="s">
        <v>2162</v>
      </c>
      <c r="C209" s="106" t="s">
        <v>2162</v>
      </c>
      <c r="D209" s="106" t="s">
        <v>2161</v>
      </c>
      <c r="E209" s="107" t="str">
        <f t="shared" si="7"/>
        <v>GRAYSON, KY, 41143</v>
      </c>
      <c r="F209" s="106" t="s">
        <v>2161</v>
      </c>
      <c r="G209" s="106" t="s">
        <v>2163</v>
      </c>
      <c r="H209" s="106" t="s">
        <v>2780</v>
      </c>
      <c r="I209" s="106" t="s">
        <v>1920</v>
      </c>
      <c r="J209" s="106" t="s">
        <v>2164</v>
      </c>
      <c r="K209" s="106" t="s">
        <v>1920</v>
      </c>
      <c r="L209" s="106" t="s">
        <v>2165</v>
      </c>
      <c r="N209" s="91">
        <f t="shared" si="6"/>
        <v>1</v>
      </c>
      <c r="O209" s="79" t="s">
        <v>2138</v>
      </c>
      <c r="P209" s="79" t="s">
        <v>2138</v>
      </c>
      <c r="Q209" s="79" t="s">
        <v>2137</v>
      </c>
      <c r="R209" s="79" t="s">
        <v>2780</v>
      </c>
      <c r="S209" s="79" t="s">
        <v>2822</v>
      </c>
      <c r="T209" s="79" t="s">
        <v>2139</v>
      </c>
      <c r="U209" s="79" t="s">
        <v>2140</v>
      </c>
      <c r="V209" s="79" t="s">
        <v>707</v>
      </c>
      <c r="W209" s="79" t="s">
        <v>2141</v>
      </c>
      <c r="Y209" s="79" t="s">
        <v>2137</v>
      </c>
    </row>
    <row r="210" spans="2:25" ht="12.75" customHeight="1" x14ac:dyDescent="0.2">
      <c r="B210" s="143" t="s">
        <v>2162</v>
      </c>
      <c r="C210" s="143" t="s">
        <v>2162</v>
      </c>
      <c r="D210" s="143" t="s">
        <v>2724</v>
      </c>
      <c r="E210" s="107" t="str">
        <f t="shared" si="7"/>
        <v>GRAYSON, KY, 41143</v>
      </c>
      <c r="F210" s="143" t="s">
        <v>2724</v>
      </c>
      <c r="G210" s="143" t="s">
        <v>2163</v>
      </c>
      <c r="H210" s="143" t="s">
        <v>2780</v>
      </c>
      <c r="I210" s="143" t="s">
        <v>1920</v>
      </c>
      <c r="J210" s="143" t="s">
        <v>2164</v>
      </c>
      <c r="K210" s="143" t="s">
        <v>1920</v>
      </c>
      <c r="L210" s="143" t="s">
        <v>2165</v>
      </c>
      <c r="N210" s="91">
        <f t="shared" si="6"/>
        <v>1</v>
      </c>
      <c r="O210" s="79" t="s">
        <v>2143</v>
      </c>
      <c r="P210" s="79" t="s">
        <v>2143</v>
      </c>
      <c r="Q210" s="79" t="s">
        <v>2142</v>
      </c>
      <c r="R210" s="79" t="s">
        <v>2770</v>
      </c>
      <c r="S210" s="79" t="s">
        <v>2771</v>
      </c>
      <c r="T210" s="79" t="s">
        <v>2024</v>
      </c>
      <c r="U210" s="79" t="s">
        <v>2025</v>
      </c>
      <c r="V210" s="79" t="s">
        <v>707</v>
      </c>
      <c r="W210" s="79" t="s">
        <v>2026</v>
      </c>
      <c r="Y210" s="79" t="s">
        <v>2142</v>
      </c>
    </row>
    <row r="211" spans="2:25" ht="12.75" customHeight="1" x14ac:dyDescent="0.2">
      <c r="B211" s="106" t="s">
        <v>2138</v>
      </c>
      <c r="C211" s="106" t="s">
        <v>2138</v>
      </c>
      <c r="D211" s="106" t="s">
        <v>2137</v>
      </c>
      <c r="E211" s="107" t="str">
        <f t="shared" si="7"/>
        <v>PEEBLES, OH, 45660</v>
      </c>
      <c r="F211" s="106" t="s">
        <v>2137</v>
      </c>
      <c r="G211" s="106" t="s">
        <v>2139</v>
      </c>
      <c r="H211" s="106" t="s">
        <v>2780</v>
      </c>
      <c r="I211" s="106" t="s">
        <v>2822</v>
      </c>
      <c r="J211" s="106" t="s">
        <v>2140</v>
      </c>
      <c r="K211" s="106" t="s">
        <v>707</v>
      </c>
      <c r="L211" s="106" t="s">
        <v>2141</v>
      </c>
      <c r="N211" s="91">
        <f t="shared" si="6"/>
        <v>1</v>
      </c>
      <c r="O211" s="79" t="s">
        <v>2622</v>
      </c>
      <c r="P211" s="79" t="s">
        <v>2622</v>
      </c>
      <c r="Q211" s="79" t="s">
        <v>2621</v>
      </c>
      <c r="R211" s="79" t="s">
        <v>2767</v>
      </c>
      <c r="S211" s="79" t="s">
        <v>2798</v>
      </c>
      <c r="T211" s="79" t="s">
        <v>2623</v>
      </c>
      <c r="U211" s="79" t="s">
        <v>2624</v>
      </c>
      <c r="V211" s="79" t="s">
        <v>707</v>
      </c>
      <c r="W211" s="79" t="s">
        <v>2625</v>
      </c>
      <c r="Y211" s="79" t="s">
        <v>2621</v>
      </c>
    </row>
    <row r="212" spans="2:25" ht="12.75" customHeight="1" x14ac:dyDescent="0.2">
      <c r="B212" s="106" t="s">
        <v>2143</v>
      </c>
      <c r="C212" s="106" t="s">
        <v>2143</v>
      </c>
      <c r="D212" s="106" t="s">
        <v>2142</v>
      </c>
      <c r="E212" s="107" t="str">
        <f t="shared" si="7"/>
        <v>BATAVIA, OH, 45103</v>
      </c>
      <c r="F212" s="106" t="s">
        <v>2142</v>
      </c>
      <c r="G212" s="106" t="s">
        <v>2024</v>
      </c>
      <c r="H212" s="106" t="s">
        <v>2770</v>
      </c>
      <c r="I212" s="106" t="s">
        <v>2771</v>
      </c>
      <c r="J212" s="106" t="s">
        <v>2025</v>
      </c>
      <c r="K212" s="106" t="s">
        <v>707</v>
      </c>
      <c r="L212" s="106" t="s">
        <v>2026</v>
      </c>
      <c r="N212" s="91">
        <f t="shared" si="6"/>
        <v>2</v>
      </c>
      <c r="O212" s="79" t="s">
        <v>2622</v>
      </c>
      <c r="P212" s="79" t="s">
        <v>2622</v>
      </c>
      <c r="Q212" s="79" t="s">
        <v>2637</v>
      </c>
      <c r="R212" s="79" t="s">
        <v>2767</v>
      </c>
      <c r="S212" s="79" t="s">
        <v>2798</v>
      </c>
      <c r="T212" s="79" t="s">
        <v>2623</v>
      </c>
      <c r="U212" s="79" t="s">
        <v>2624</v>
      </c>
      <c r="V212" s="79" t="s">
        <v>707</v>
      </c>
      <c r="W212" s="79" t="s">
        <v>2625</v>
      </c>
      <c r="Y212" s="79" t="s">
        <v>2637</v>
      </c>
    </row>
    <row r="213" spans="2:25" ht="12.75" customHeight="1" x14ac:dyDescent="0.2">
      <c r="B213" s="106" t="s">
        <v>2622</v>
      </c>
      <c r="C213" s="106" t="s">
        <v>2622</v>
      </c>
      <c r="D213" s="106" t="s">
        <v>2621</v>
      </c>
      <c r="E213" s="107" t="str">
        <f t="shared" si="7"/>
        <v>CASTALIA, OH, 44824</v>
      </c>
      <c r="F213" s="106" t="s">
        <v>2621</v>
      </c>
      <c r="G213" s="106" t="s">
        <v>2623</v>
      </c>
      <c r="H213" s="106" t="s">
        <v>2767</v>
      </c>
      <c r="I213" s="106" t="s">
        <v>2798</v>
      </c>
      <c r="J213" s="106" t="s">
        <v>2624</v>
      </c>
      <c r="K213" s="106" t="s">
        <v>707</v>
      </c>
      <c r="L213" s="106" t="s">
        <v>2625</v>
      </c>
      <c r="N213" s="91">
        <f t="shared" ref="N213:N276" si="8">IF(O213=O212,1+N212,1)</f>
        <v>3</v>
      </c>
      <c r="O213" s="79" t="s">
        <v>2622</v>
      </c>
      <c r="P213" s="79" t="s">
        <v>2622</v>
      </c>
      <c r="Q213" s="79" t="s">
        <v>2650</v>
      </c>
      <c r="R213" s="79" t="s">
        <v>2767</v>
      </c>
      <c r="S213" s="79" t="s">
        <v>2798</v>
      </c>
      <c r="T213" s="79" t="s">
        <v>2623</v>
      </c>
      <c r="U213" s="79" t="s">
        <v>2624</v>
      </c>
      <c r="V213" s="79" t="s">
        <v>707</v>
      </c>
      <c r="W213" s="79" t="s">
        <v>2625</v>
      </c>
      <c r="Y213" s="79" t="s">
        <v>2650</v>
      </c>
    </row>
    <row r="214" spans="2:25" ht="12.75" customHeight="1" x14ac:dyDescent="0.2">
      <c r="B214" s="106" t="s">
        <v>2622</v>
      </c>
      <c r="C214" s="106" t="s">
        <v>2622</v>
      </c>
      <c r="D214" s="106" t="s">
        <v>2637</v>
      </c>
      <c r="E214" s="107" t="str">
        <f t="shared" si="7"/>
        <v>CASTALIA, OH, 44824</v>
      </c>
      <c r="F214" s="106" t="s">
        <v>2637</v>
      </c>
      <c r="G214" s="106" t="s">
        <v>2623</v>
      </c>
      <c r="H214" s="106" t="s">
        <v>2767</v>
      </c>
      <c r="I214" s="106" t="s">
        <v>2798</v>
      </c>
      <c r="J214" s="106" t="s">
        <v>2624</v>
      </c>
      <c r="K214" s="106" t="s">
        <v>707</v>
      </c>
      <c r="L214" s="106" t="s">
        <v>2625</v>
      </c>
      <c r="N214" s="91">
        <f t="shared" si="8"/>
        <v>4</v>
      </c>
      <c r="O214" s="79" t="s">
        <v>2622</v>
      </c>
      <c r="P214" s="79" t="s">
        <v>2622</v>
      </c>
      <c r="Q214" s="79" t="s">
        <v>2657</v>
      </c>
      <c r="R214" s="79" t="s">
        <v>2767</v>
      </c>
      <c r="S214" s="79" t="s">
        <v>2798</v>
      </c>
      <c r="T214" s="79" t="s">
        <v>2623</v>
      </c>
      <c r="U214" s="79" t="s">
        <v>2624</v>
      </c>
      <c r="V214" s="79" t="s">
        <v>707</v>
      </c>
      <c r="W214" s="79" t="s">
        <v>2625</v>
      </c>
      <c r="Y214" s="79" t="s">
        <v>2657</v>
      </c>
    </row>
    <row r="215" spans="2:25" ht="12.75" customHeight="1" x14ac:dyDescent="0.2">
      <c r="B215" s="143" t="s">
        <v>2622</v>
      </c>
      <c r="C215" s="143" t="s">
        <v>2622</v>
      </c>
      <c r="D215" s="143" t="s">
        <v>2650</v>
      </c>
      <c r="E215" s="107" t="str">
        <f t="shared" si="7"/>
        <v>CASTALIA, OH, 44824</v>
      </c>
      <c r="F215" s="143" t="s">
        <v>2650</v>
      </c>
      <c r="G215" s="143" t="s">
        <v>2623</v>
      </c>
      <c r="H215" s="143" t="s">
        <v>2767</v>
      </c>
      <c r="I215" s="143" t="s">
        <v>2798</v>
      </c>
      <c r="J215" s="143" t="s">
        <v>2624</v>
      </c>
      <c r="K215" s="143" t="s">
        <v>707</v>
      </c>
      <c r="L215" s="143" t="s">
        <v>2625</v>
      </c>
      <c r="N215" s="91">
        <f t="shared" si="8"/>
        <v>1</v>
      </c>
      <c r="O215" s="79" t="s">
        <v>2640</v>
      </c>
      <c r="P215" s="79" t="s">
        <v>2640</v>
      </c>
      <c r="Q215" s="79" t="s">
        <v>2639</v>
      </c>
      <c r="R215" s="79" t="s">
        <v>2762</v>
      </c>
      <c r="S215" s="79" t="s">
        <v>2763</v>
      </c>
      <c r="T215" s="79" t="s">
        <v>774</v>
      </c>
      <c r="U215" s="79" t="s">
        <v>775</v>
      </c>
      <c r="V215" s="79" t="s">
        <v>707</v>
      </c>
      <c r="W215" s="79" t="s">
        <v>776</v>
      </c>
      <c r="Y215" s="79" t="s">
        <v>2639</v>
      </c>
    </row>
    <row r="216" spans="2:25" ht="12.75" customHeight="1" x14ac:dyDescent="0.2">
      <c r="B216" s="143" t="s">
        <v>2622</v>
      </c>
      <c r="C216" s="143" t="s">
        <v>2622</v>
      </c>
      <c r="D216" s="143" t="s">
        <v>2657</v>
      </c>
      <c r="E216" s="107" t="str">
        <f t="shared" si="7"/>
        <v>CASTALIA, OH, 44824</v>
      </c>
      <c r="F216" s="143" t="s">
        <v>2657</v>
      </c>
      <c r="G216" s="143" t="s">
        <v>2623</v>
      </c>
      <c r="H216" s="143" t="s">
        <v>2767</v>
      </c>
      <c r="I216" s="143" t="s">
        <v>2798</v>
      </c>
      <c r="J216" s="143" t="s">
        <v>2624</v>
      </c>
      <c r="K216" s="143" t="s">
        <v>707</v>
      </c>
      <c r="L216" s="143" t="s">
        <v>2625</v>
      </c>
      <c r="N216" s="91">
        <f t="shared" si="8"/>
        <v>2</v>
      </c>
      <c r="O216" s="79" t="s">
        <v>2640</v>
      </c>
      <c r="P216" s="79" t="s">
        <v>2640</v>
      </c>
      <c r="Q216" s="79" t="s">
        <v>2651</v>
      </c>
      <c r="R216" s="79" t="s">
        <v>2762</v>
      </c>
      <c r="S216" s="79" t="s">
        <v>2766</v>
      </c>
      <c r="T216" s="79" t="s">
        <v>774</v>
      </c>
      <c r="U216" s="79" t="s">
        <v>775</v>
      </c>
      <c r="V216" s="79" t="s">
        <v>707</v>
      </c>
      <c r="W216" s="79" t="s">
        <v>776</v>
      </c>
      <c r="Y216" s="79" t="s">
        <v>2651</v>
      </c>
    </row>
    <row r="217" spans="2:25" ht="12.75" customHeight="1" x14ac:dyDescent="0.2">
      <c r="B217" s="106" t="s">
        <v>3169</v>
      </c>
      <c r="C217" s="106" t="s">
        <v>3169</v>
      </c>
      <c r="D217" s="106" t="s">
        <v>3170</v>
      </c>
      <c r="E217" s="107" t="str">
        <f t="shared" si="7"/>
        <v>WICKLIFFE, OH, 44092</v>
      </c>
      <c r="F217" s="106" t="s">
        <v>3170</v>
      </c>
      <c r="G217" s="106" t="s">
        <v>3171</v>
      </c>
      <c r="H217" s="106" t="s">
        <v>2759</v>
      </c>
      <c r="I217" s="106" t="s">
        <v>2761</v>
      </c>
      <c r="J217" s="106" t="s">
        <v>3166</v>
      </c>
      <c r="K217" s="106" t="s">
        <v>707</v>
      </c>
      <c r="L217" s="106" t="s">
        <v>3167</v>
      </c>
      <c r="N217" s="91">
        <f t="shared" si="8"/>
        <v>1</v>
      </c>
      <c r="O217" s="79" t="s">
        <v>2655</v>
      </c>
      <c r="P217" s="79" t="s">
        <v>2655</v>
      </c>
      <c r="Q217" s="79" t="s">
        <v>2654</v>
      </c>
      <c r="R217" s="79" t="s">
        <v>2791</v>
      </c>
      <c r="S217" s="79" t="s">
        <v>2809</v>
      </c>
      <c r="T217" s="79" t="s">
        <v>2656</v>
      </c>
      <c r="U217" s="79" t="s">
        <v>748</v>
      </c>
      <c r="V217" s="79" t="s">
        <v>707</v>
      </c>
      <c r="W217" s="79" t="s">
        <v>749</v>
      </c>
      <c r="Y217" s="79" t="s">
        <v>2654</v>
      </c>
    </row>
    <row r="218" spans="2:25" ht="12.75" customHeight="1" x14ac:dyDescent="0.2">
      <c r="B218" s="143" t="s">
        <v>3169</v>
      </c>
      <c r="C218" s="143" t="s">
        <v>3169</v>
      </c>
      <c r="D218" s="143" t="s">
        <v>3172</v>
      </c>
      <c r="E218" s="107" t="str">
        <f t="shared" si="7"/>
        <v>WICKLIFFE, OH, 44092</v>
      </c>
      <c r="F218" s="143" t="s">
        <v>3172</v>
      </c>
      <c r="G218" s="143" t="s">
        <v>3165</v>
      </c>
      <c r="H218" s="143" t="s">
        <v>2759</v>
      </c>
      <c r="I218" s="143" t="s">
        <v>2761</v>
      </c>
      <c r="J218" s="143" t="s">
        <v>3166</v>
      </c>
      <c r="K218" s="143" t="s">
        <v>707</v>
      </c>
      <c r="L218" s="143" t="s">
        <v>3167</v>
      </c>
      <c r="N218" s="91">
        <f t="shared" si="8"/>
        <v>1</v>
      </c>
      <c r="O218" s="79" t="s">
        <v>2633</v>
      </c>
      <c r="P218" s="79" t="s">
        <v>2633</v>
      </c>
      <c r="Q218" s="79" t="s">
        <v>2632</v>
      </c>
      <c r="R218" s="79" t="s">
        <v>2762</v>
      </c>
      <c r="S218" s="79" t="s">
        <v>2766</v>
      </c>
      <c r="T218" s="79" t="s">
        <v>2634</v>
      </c>
      <c r="U218" s="79" t="s">
        <v>885</v>
      </c>
      <c r="V218" s="79" t="s">
        <v>707</v>
      </c>
      <c r="W218" s="79" t="s">
        <v>886</v>
      </c>
      <c r="Y218" s="79" t="s">
        <v>2632</v>
      </c>
    </row>
    <row r="219" spans="2:25" ht="12.75" customHeight="1" x14ac:dyDescent="0.2">
      <c r="B219" s="143" t="s">
        <v>3173</v>
      </c>
      <c r="C219" s="143" t="s">
        <v>3173</v>
      </c>
      <c r="D219" s="143" t="s">
        <v>3174</v>
      </c>
      <c r="E219" s="107" t="str">
        <f t="shared" si="7"/>
        <v>WICKLIFFE, OH, 44092</v>
      </c>
      <c r="F219" s="143" t="s">
        <v>3174</v>
      </c>
      <c r="G219" s="143" t="s">
        <v>3165</v>
      </c>
      <c r="H219" s="143" t="s">
        <v>2759</v>
      </c>
      <c r="I219" s="143" t="s">
        <v>2761</v>
      </c>
      <c r="J219" s="143" t="s">
        <v>3166</v>
      </c>
      <c r="K219" s="143" t="s">
        <v>707</v>
      </c>
      <c r="L219" s="143" t="s">
        <v>3167</v>
      </c>
      <c r="N219" s="91">
        <f t="shared" si="8"/>
        <v>2</v>
      </c>
      <c r="O219" s="79" t="s">
        <v>2633</v>
      </c>
      <c r="P219" s="79" t="s">
        <v>2633</v>
      </c>
      <c r="Q219" s="79" t="s">
        <v>2644</v>
      </c>
      <c r="R219" s="79" t="s">
        <v>2762</v>
      </c>
      <c r="S219" s="79" t="s">
        <v>2766</v>
      </c>
      <c r="T219" s="79" t="s">
        <v>2634</v>
      </c>
      <c r="U219" s="79" t="s">
        <v>885</v>
      </c>
      <c r="V219" s="79" t="s">
        <v>707</v>
      </c>
      <c r="W219" s="79" t="s">
        <v>886</v>
      </c>
      <c r="Y219" s="79" t="s">
        <v>2644</v>
      </c>
    </row>
    <row r="220" spans="2:25" ht="12.75" customHeight="1" x14ac:dyDescent="0.2">
      <c r="B220" s="143" t="s">
        <v>2640</v>
      </c>
      <c r="C220" s="143" t="s">
        <v>2640</v>
      </c>
      <c r="D220" s="143" t="s">
        <v>2639</v>
      </c>
      <c r="E220" s="107" t="str">
        <f t="shared" si="7"/>
        <v>CANTON, OH, 44707</v>
      </c>
      <c r="F220" s="143" t="s">
        <v>2639</v>
      </c>
      <c r="G220" s="143" t="s">
        <v>774</v>
      </c>
      <c r="H220" s="143" t="s">
        <v>2762</v>
      </c>
      <c r="I220" s="143" t="s">
        <v>2763</v>
      </c>
      <c r="J220" s="143" t="s">
        <v>775</v>
      </c>
      <c r="K220" s="143" t="s">
        <v>707</v>
      </c>
      <c r="L220" s="143" t="s">
        <v>776</v>
      </c>
      <c r="N220" s="91">
        <f t="shared" si="8"/>
        <v>3</v>
      </c>
      <c r="O220" s="79" t="s">
        <v>2633</v>
      </c>
      <c r="P220" s="79" t="s">
        <v>2633</v>
      </c>
      <c r="Q220" s="79" t="s">
        <v>2653</v>
      </c>
      <c r="R220" s="79" t="s">
        <v>2762</v>
      </c>
      <c r="S220" s="79" t="s">
        <v>2766</v>
      </c>
      <c r="T220" s="79" t="s">
        <v>2634</v>
      </c>
      <c r="U220" s="79" t="s">
        <v>885</v>
      </c>
      <c r="V220" s="79" t="s">
        <v>707</v>
      </c>
      <c r="W220" s="79" t="s">
        <v>886</v>
      </c>
      <c r="Y220" s="79" t="s">
        <v>2653</v>
      </c>
    </row>
    <row r="221" spans="2:25" ht="12.75" customHeight="1" x14ac:dyDescent="0.2">
      <c r="B221" s="143" t="s">
        <v>2640</v>
      </c>
      <c r="C221" s="143" t="s">
        <v>2640</v>
      </c>
      <c r="D221" s="143" t="s">
        <v>2651</v>
      </c>
      <c r="E221" s="107" t="str">
        <f t="shared" si="7"/>
        <v>CANTON, OH, 44707</v>
      </c>
      <c r="F221" s="143" t="s">
        <v>2651</v>
      </c>
      <c r="G221" s="143" t="s">
        <v>774</v>
      </c>
      <c r="H221" s="143" t="s">
        <v>2762</v>
      </c>
      <c r="I221" s="143" t="s">
        <v>2766</v>
      </c>
      <c r="J221" s="143" t="s">
        <v>775</v>
      </c>
      <c r="K221" s="143" t="s">
        <v>707</v>
      </c>
      <c r="L221" s="143" t="s">
        <v>776</v>
      </c>
      <c r="N221" s="91">
        <f t="shared" si="8"/>
        <v>4</v>
      </c>
      <c r="O221" s="79" t="s">
        <v>2633</v>
      </c>
      <c r="P221" s="79" t="s">
        <v>2633</v>
      </c>
      <c r="Q221" s="79" t="s">
        <v>2660</v>
      </c>
      <c r="R221" s="79" t="s">
        <v>2762</v>
      </c>
      <c r="S221" s="79" t="s">
        <v>2766</v>
      </c>
      <c r="T221" s="79" t="s">
        <v>2634</v>
      </c>
      <c r="U221" s="79" t="s">
        <v>885</v>
      </c>
      <c r="V221" s="79" t="s">
        <v>707</v>
      </c>
      <c r="W221" s="79" t="s">
        <v>886</v>
      </c>
      <c r="Y221" s="79" t="s">
        <v>2660</v>
      </c>
    </row>
    <row r="222" spans="2:25" ht="12.75" customHeight="1" x14ac:dyDescent="0.2">
      <c r="B222" s="143" t="s">
        <v>2655</v>
      </c>
      <c r="C222" s="143" t="s">
        <v>2655</v>
      </c>
      <c r="D222" s="143" t="s">
        <v>2654</v>
      </c>
      <c r="E222" s="107" t="str">
        <f t="shared" si="7"/>
        <v>MARTINS FERRY, OH, 43935</v>
      </c>
      <c r="F222" s="143" t="s">
        <v>2654</v>
      </c>
      <c r="G222" s="143" t="s">
        <v>2656</v>
      </c>
      <c r="H222" s="143" t="s">
        <v>2791</v>
      </c>
      <c r="I222" s="143" t="s">
        <v>2809</v>
      </c>
      <c r="J222" s="143" t="s">
        <v>748</v>
      </c>
      <c r="K222" s="143" t="s">
        <v>707</v>
      </c>
      <c r="L222" s="143" t="s">
        <v>749</v>
      </c>
      <c r="N222" s="91">
        <f t="shared" si="8"/>
        <v>1</v>
      </c>
      <c r="O222" s="79" t="s">
        <v>2627</v>
      </c>
      <c r="P222" s="79" t="s">
        <v>2627</v>
      </c>
      <c r="Q222" s="79" t="s">
        <v>2626</v>
      </c>
      <c r="R222" s="79" t="s">
        <v>2767</v>
      </c>
      <c r="S222" s="79" t="s">
        <v>2768</v>
      </c>
      <c r="T222" s="79" t="s">
        <v>1337</v>
      </c>
      <c r="U222" s="79" t="s">
        <v>1338</v>
      </c>
      <c r="V222" s="79" t="s">
        <v>707</v>
      </c>
      <c r="W222" s="79" t="s">
        <v>1339</v>
      </c>
      <c r="Y222" s="79" t="s">
        <v>2626</v>
      </c>
    </row>
    <row r="223" spans="2:25" ht="12.75" customHeight="1" x14ac:dyDescent="0.2">
      <c r="B223" s="106" t="s">
        <v>2633</v>
      </c>
      <c r="C223" s="106" t="s">
        <v>2633</v>
      </c>
      <c r="D223" s="106" t="s">
        <v>2632</v>
      </c>
      <c r="E223" s="107" t="str">
        <f t="shared" si="7"/>
        <v>MASSILLON, OH, 44646</v>
      </c>
      <c r="F223" s="106" t="s">
        <v>2632</v>
      </c>
      <c r="G223" s="106" t="s">
        <v>2634</v>
      </c>
      <c r="H223" s="106" t="s">
        <v>2762</v>
      </c>
      <c r="I223" s="106" t="s">
        <v>2766</v>
      </c>
      <c r="J223" s="106" t="s">
        <v>885</v>
      </c>
      <c r="K223" s="106" t="s">
        <v>707</v>
      </c>
      <c r="L223" s="106" t="s">
        <v>886</v>
      </c>
      <c r="N223" s="91">
        <f t="shared" si="8"/>
        <v>2</v>
      </c>
      <c r="O223" s="79" t="s">
        <v>2627</v>
      </c>
      <c r="P223" s="79" t="s">
        <v>2627</v>
      </c>
      <c r="Q223" s="79" t="s">
        <v>2638</v>
      </c>
      <c r="R223" s="79" t="s">
        <v>2767</v>
      </c>
      <c r="S223" s="79" t="s">
        <v>2768</v>
      </c>
      <c r="T223" s="79" t="s">
        <v>1337</v>
      </c>
      <c r="U223" s="79" t="s">
        <v>1338</v>
      </c>
      <c r="V223" s="79" t="s">
        <v>707</v>
      </c>
      <c r="W223" s="79" t="s">
        <v>1339</v>
      </c>
      <c r="Y223" s="79" t="s">
        <v>2638</v>
      </c>
    </row>
    <row r="224" spans="2:25" ht="12.75" customHeight="1" x14ac:dyDescent="0.2">
      <c r="B224" s="143" t="s">
        <v>2633</v>
      </c>
      <c r="C224" s="143" t="s">
        <v>2633</v>
      </c>
      <c r="D224" s="143" t="s">
        <v>2644</v>
      </c>
      <c r="E224" s="107" t="str">
        <f t="shared" si="7"/>
        <v>MASSILLON, OH, 44646</v>
      </c>
      <c r="F224" s="143" t="s">
        <v>2644</v>
      </c>
      <c r="G224" s="143" t="s">
        <v>2634</v>
      </c>
      <c r="H224" s="143" t="s">
        <v>2762</v>
      </c>
      <c r="I224" s="143" t="s">
        <v>2766</v>
      </c>
      <c r="J224" s="143" t="s">
        <v>885</v>
      </c>
      <c r="K224" s="143" t="s">
        <v>707</v>
      </c>
      <c r="L224" s="143" t="s">
        <v>886</v>
      </c>
      <c r="N224" s="91">
        <f t="shared" si="8"/>
        <v>3</v>
      </c>
      <c r="O224" s="79" t="s">
        <v>2627</v>
      </c>
      <c r="P224" s="79" t="s">
        <v>2627</v>
      </c>
      <c r="Q224" s="79" t="s">
        <v>2658</v>
      </c>
      <c r="R224" s="79" t="s">
        <v>2767</v>
      </c>
      <c r="S224" s="79" t="s">
        <v>2768</v>
      </c>
      <c r="T224" s="79" t="s">
        <v>1337</v>
      </c>
      <c r="U224" s="79" t="s">
        <v>1338</v>
      </c>
      <c r="V224" s="79" t="s">
        <v>707</v>
      </c>
      <c r="W224" s="79" t="s">
        <v>1339</v>
      </c>
      <c r="Y224" s="79" t="s">
        <v>2658</v>
      </c>
    </row>
    <row r="225" spans="2:25" ht="12.75" customHeight="1" x14ac:dyDescent="0.2">
      <c r="B225" s="143" t="s">
        <v>2633</v>
      </c>
      <c r="C225" s="143" t="s">
        <v>2633</v>
      </c>
      <c r="D225" s="143" t="s">
        <v>2653</v>
      </c>
      <c r="E225" s="107" t="str">
        <f t="shared" si="7"/>
        <v>MASSILLON, OH, 44646</v>
      </c>
      <c r="F225" s="143" t="s">
        <v>2653</v>
      </c>
      <c r="G225" s="143" t="s">
        <v>2634</v>
      </c>
      <c r="H225" s="143" t="s">
        <v>2762</v>
      </c>
      <c r="I225" s="143" t="s">
        <v>2766</v>
      </c>
      <c r="J225" s="143" t="s">
        <v>885</v>
      </c>
      <c r="K225" s="143" t="s">
        <v>707</v>
      </c>
      <c r="L225" s="143" t="s">
        <v>886</v>
      </c>
      <c r="N225" s="91">
        <f t="shared" si="8"/>
        <v>1</v>
      </c>
      <c r="O225" s="79" t="s">
        <v>2636</v>
      </c>
      <c r="P225" s="79" t="s">
        <v>2636</v>
      </c>
      <c r="Q225" s="79" t="s">
        <v>2635</v>
      </c>
      <c r="R225" s="79" t="s">
        <v>2767</v>
      </c>
      <c r="S225" s="79" t="s">
        <v>2768</v>
      </c>
      <c r="T225" s="79" t="s">
        <v>834</v>
      </c>
      <c r="U225" s="79" t="s">
        <v>835</v>
      </c>
      <c r="V225" s="79" t="s">
        <v>707</v>
      </c>
      <c r="W225" s="79" t="s">
        <v>836</v>
      </c>
      <c r="Y225" s="79" t="s">
        <v>2635</v>
      </c>
    </row>
    <row r="226" spans="2:25" ht="12.75" customHeight="1" x14ac:dyDescent="0.2">
      <c r="B226" s="143" t="s">
        <v>2633</v>
      </c>
      <c r="C226" s="143" t="s">
        <v>2633</v>
      </c>
      <c r="D226" s="143" t="s">
        <v>2660</v>
      </c>
      <c r="E226" s="107" t="str">
        <f t="shared" si="7"/>
        <v>MASSILLON, OH, 44646</v>
      </c>
      <c r="F226" s="143" t="s">
        <v>2660</v>
      </c>
      <c r="G226" s="143" t="s">
        <v>2634</v>
      </c>
      <c r="H226" s="143" t="s">
        <v>2762</v>
      </c>
      <c r="I226" s="143" t="s">
        <v>2766</v>
      </c>
      <c r="J226" s="143" t="s">
        <v>885</v>
      </c>
      <c r="K226" s="143" t="s">
        <v>707</v>
      </c>
      <c r="L226" s="143" t="s">
        <v>886</v>
      </c>
      <c r="N226" s="91">
        <f t="shared" si="8"/>
        <v>2</v>
      </c>
      <c r="O226" s="79" t="s">
        <v>2636</v>
      </c>
      <c r="P226" s="79" t="s">
        <v>2636</v>
      </c>
      <c r="Q226" s="79" t="s">
        <v>2647</v>
      </c>
      <c r="R226" s="79" t="s">
        <v>2767</v>
      </c>
      <c r="S226" s="79" t="s">
        <v>2768</v>
      </c>
      <c r="T226" s="79" t="s">
        <v>1277</v>
      </c>
      <c r="U226" s="79" t="s">
        <v>835</v>
      </c>
      <c r="V226" s="79" t="s">
        <v>707</v>
      </c>
      <c r="W226" s="79" t="s">
        <v>836</v>
      </c>
      <c r="Y226" s="79" t="s">
        <v>2647</v>
      </c>
    </row>
    <row r="227" spans="2:25" ht="12.75" customHeight="1" x14ac:dyDescent="0.2">
      <c r="B227" s="106" t="s">
        <v>2627</v>
      </c>
      <c r="C227" s="106" t="s">
        <v>2627</v>
      </c>
      <c r="D227" s="106" t="s">
        <v>2626</v>
      </c>
      <c r="E227" s="107" t="str">
        <f t="shared" si="7"/>
        <v>LODI, OH, 44254</v>
      </c>
      <c r="F227" s="106" t="s">
        <v>2626</v>
      </c>
      <c r="G227" s="106" t="s">
        <v>1337</v>
      </c>
      <c r="H227" s="106" t="s">
        <v>2767</v>
      </c>
      <c r="I227" s="106" t="s">
        <v>2768</v>
      </c>
      <c r="J227" s="106" t="s">
        <v>1338</v>
      </c>
      <c r="K227" s="106" t="s">
        <v>707</v>
      </c>
      <c r="L227" s="106" t="s">
        <v>1339</v>
      </c>
      <c r="N227" s="91">
        <f t="shared" si="8"/>
        <v>3</v>
      </c>
      <c r="O227" s="79" t="s">
        <v>2636</v>
      </c>
      <c r="P227" s="79" t="s">
        <v>2636</v>
      </c>
      <c r="Q227" s="79" t="s">
        <v>2661</v>
      </c>
      <c r="R227" s="79" t="s">
        <v>2767</v>
      </c>
      <c r="S227" s="79" t="s">
        <v>2768</v>
      </c>
      <c r="T227" s="79" t="s">
        <v>834</v>
      </c>
      <c r="U227" s="79" t="s">
        <v>835</v>
      </c>
      <c r="V227" s="79" t="s">
        <v>707</v>
      </c>
      <c r="W227" s="79" t="s">
        <v>836</v>
      </c>
      <c r="Y227" s="79" t="s">
        <v>2661</v>
      </c>
    </row>
    <row r="228" spans="2:25" ht="12.75" customHeight="1" x14ac:dyDescent="0.2">
      <c r="B228" s="106" t="s">
        <v>2627</v>
      </c>
      <c r="C228" s="106" t="s">
        <v>2627</v>
      </c>
      <c r="D228" s="106" t="s">
        <v>2638</v>
      </c>
      <c r="E228" s="107" t="str">
        <f t="shared" si="7"/>
        <v>LODI, OH, 44254</v>
      </c>
      <c r="F228" s="106" t="s">
        <v>2638</v>
      </c>
      <c r="G228" s="106" t="s">
        <v>1337</v>
      </c>
      <c r="H228" s="106" t="s">
        <v>2767</v>
      </c>
      <c r="I228" s="106" t="s">
        <v>2768</v>
      </c>
      <c r="J228" s="106" t="s">
        <v>1338</v>
      </c>
      <c r="K228" s="106" t="s">
        <v>707</v>
      </c>
      <c r="L228" s="106" t="s">
        <v>1339</v>
      </c>
      <c r="N228" s="91">
        <f t="shared" si="8"/>
        <v>1</v>
      </c>
      <c r="O228" s="79" t="s">
        <v>2631</v>
      </c>
      <c r="P228" s="79" t="s">
        <v>2631</v>
      </c>
      <c r="Q228" s="79" t="s">
        <v>2630</v>
      </c>
      <c r="R228" s="79" t="s">
        <v>2759</v>
      </c>
      <c r="S228" s="79" t="s">
        <v>2760</v>
      </c>
      <c r="T228" s="79" t="s">
        <v>969</v>
      </c>
      <c r="U228" s="79" t="s">
        <v>843</v>
      </c>
      <c r="V228" s="79" t="s">
        <v>707</v>
      </c>
      <c r="W228" s="79" t="s">
        <v>970</v>
      </c>
      <c r="Y228" s="79" t="s">
        <v>2630</v>
      </c>
    </row>
    <row r="229" spans="2:25" s="63" customFormat="1" ht="12.75" customHeight="1" x14ac:dyDescent="0.2">
      <c r="B229" s="143" t="s">
        <v>2627</v>
      </c>
      <c r="C229" s="143" t="s">
        <v>2627</v>
      </c>
      <c r="D229" s="143" t="s">
        <v>2658</v>
      </c>
      <c r="E229" s="107" t="str">
        <f t="shared" si="7"/>
        <v>LODI, OH, 44254</v>
      </c>
      <c r="F229" s="143" t="s">
        <v>2658</v>
      </c>
      <c r="G229" s="143" t="s">
        <v>1337</v>
      </c>
      <c r="H229" s="143" t="s">
        <v>2767</v>
      </c>
      <c r="I229" s="143" t="s">
        <v>2768</v>
      </c>
      <c r="J229" s="143" t="s">
        <v>1338</v>
      </c>
      <c r="K229" s="143" t="s">
        <v>707</v>
      </c>
      <c r="L229" s="143" t="s">
        <v>1339</v>
      </c>
      <c r="M229" s="110"/>
      <c r="N229" s="91">
        <f t="shared" si="8"/>
        <v>1</v>
      </c>
      <c r="O229" s="79" t="s">
        <v>2629</v>
      </c>
      <c r="P229" s="79" t="s">
        <v>2629</v>
      </c>
      <c r="Q229" s="79" t="s">
        <v>2628</v>
      </c>
      <c r="R229" s="79" t="s">
        <v>2762</v>
      </c>
      <c r="S229" s="79" t="s">
        <v>2763</v>
      </c>
      <c r="T229" s="79" t="s">
        <v>2615</v>
      </c>
      <c r="U229" s="79" t="s">
        <v>733</v>
      </c>
      <c r="V229" s="79" t="s">
        <v>707</v>
      </c>
      <c r="W229" s="79" t="s">
        <v>2616</v>
      </c>
      <c r="Y229" s="79" t="s">
        <v>2628</v>
      </c>
    </row>
    <row r="230" spans="2:25" s="63" customFormat="1" ht="12.75" customHeight="1" x14ac:dyDescent="0.2">
      <c r="B230" s="106" t="s">
        <v>2636</v>
      </c>
      <c r="C230" s="106" t="s">
        <v>2636</v>
      </c>
      <c r="D230" s="106" t="s">
        <v>2635</v>
      </c>
      <c r="E230" s="107" t="str">
        <f t="shared" si="7"/>
        <v>MEDINA, OH, 44256</v>
      </c>
      <c r="F230" s="106" t="s">
        <v>2635</v>
      </c>
      <c r="G230" s="106" t="s">
        <v>834</v>
      </c>
      <c r="H230" s="106" t="s">
        <v>2767</v>
      </c>
      <c r="I230" s="106" t="s">
        <v>2768</v>
      </c>
      <c r="J230" s="106" t="s">
        <v>835</v>
      </c>
      <c r="K230" s="106" t="s">
        <v>707</v>
      </c>
      <c r="L230" s="106" t="s">
        <v>836</v>
      </c>
      <c r="M230" s="110"/>
      <c r="N230" s="91">
        <f t="shared" si="8"/>
        <v>2</v>
      </c>
      <c r="O230" s="79" t="s">
        <v>2629</v>
      </c>
      <c r="P230" s="79" t="s">
        <v>2629</v>
      </c>
      <c r="Q230" s="79" t="s">
        <v>2641</v>
      </c>
      <c r="R230" s="79" t="s">
        <v>2762</v>
      </c>
      <c r="S230" s="79" t="s">
        <v>2763</v>
      </c>
      <c r="T230" s="79" t="s">
        <v>2615</v>
      </c>
      <c r="U230" s="79" t="s">
        <v>733</v>
      </c>
      <c r="V230" s="79" t="s">
        <v>707</v>
      </c>
      <c r="W230" s="79" t="s">
        <v>2616</v>
      </c>
      <c r="Y230" s="79" t="s">
        <v>2641</v>
      </c>
    </row>
    <row r="231" spans="2:25" s="63" customFormat="1" ht="12.75" customHeight="1" x14ac:dyDescent="0.2">
      <c r="B231" s="143" t="s">
        <v>2636</v>
      </c>
      <c r="C231" s="143" t="s">
        <v>2636</v>
      </c>
      <c r="D231" s="143" t="s">
        <v>2647</v>
      </c>
      <c r="E231" s="107" t="str">
        <f t="shared" si="7"/>
        <v>MEDINA, OH, 44256</v>
      </c>
      <c r="F231" s="143" t="s">
        <v>2647</v>
      </c>
      <c r="G231" s="143" t="s">
        <v>1277</v>
      </c>
      <c r="H231" s="143" t="s">
        <v>2767</v>
      </c>
      <c r="I231" s="143" t="s">
        <v>2768</v>
      </c>
      <c r="J231" s="143" t="s">
        <v>835</v>
      </c>
      <c r="K231" s="143" t="s">
        <v>707</v>
      </c>
      <c r="L231" s="143" t="s">
        <v>836</v>
      </c>
      <c r="M231" s="110"/>
      <c r="N231" s="91">
        <f t="shared" si="8"/>
        <v>3</v>
      </c>
      <c r="O231" s="79" t="s">
        <v>2629</v>
      </c>
      <c r="P231" s="79" t="s">
        <v>2629</v>
      </c>
      <c r="Q231" s="79" t="s">
        <v>2652</v>
      </c>
      <c r="R231" s="79" t="s">
        <v>2762</v>
      </c>
      <c r="S231" s="79" t="s">
        <v>2763</v>
      </c>
      <c r="T231" s="79" t="s">
        <v>2615</v>
      </c>
      <c r="U231" s="79" t="s">
        <v>733</v>
      </c>
      <c r="V231" s="79" t="s">
        <v>707</v>
      </c>
      <c r="W231" s="79" t="s">
        <v>2616</v>
      </c>
      <c r="Y231" s="79" t="s">
        <v>2652</v>
      </c>
    </row>
    <row r="232" spans="2:25" ht="12.75" customHeight="1" x14ac:dyDescent="0.2">
      <c r="B232" s="143" t="s">
        <v>2636</v>
      </c>
      <c r="C232" s="143" t="s">
        <v>2636</v>
      </c>
      <c r="D232" s="143" t="s">
        <v>2661</v>
      </c>
      <c r="E232" s="107" t="str">
        <f t="shared" si="7"/>
        <v>MEDINA, OH, 44256</v>
      </c>
      <c r="F232" s="143" t="s">
        <v>2661</v>
      </c>
      <c r="G232" s="143" t="s">
        <v>834</v>
      </c>
      <c r="H232" s="143" t="s">
        <v>2767</v>
      </c>
      <c r="I232" s="143" t="s">
        <v>2768</v>
      </c>
      <c r="J232" s="143" t="s">
        <v>835</v>
      </c>
      <c r="K232" s="143" t="s">
        <v>707</v>
      </c>
      <c r="L232" s="143" t="s">
        <v>836</v>
      </c>
      <c r="N232" s="91">
        <f t="shared" si="8"/>
        <v>4</v>
      </c>
      <c r="O232" s="79" t="s">
        <v>2629</v>
      </c>
      <c r="P232" s="79" t="s">
        <v>2629</v>
      </c>
      <c r="Q232" s="79" t="s">
        <v>2659</v>
      </c>
      <c r="R232" s="79" t="s">
        <v>2762</v>
      </c>
      <c r="S232" s="79" t="s">
        <v>2763</v>
      </c>
      <c r="T232" s="79" t="s">
        <v>2615</v>
      </c>
      <c r="U232" s="79" t="s">
        <v>733</v>
      </c>
      <c r="V232" s="79" t="s">
        <v>707</v>
      </c>
      <c r="W232" s="79" t="s">
        <v>2616</v>
      </c>
      <c r="Y232" s="79" t="s">
        <v>2659</v>
      </c>
    </row>
    <row r="233" spans="2:25" ht="12.75" customHeight="1" x14ac:dyDescent="0.2">
      <c r="B233" s="106" t="s">
        <v>2631</v>
      </c>
      <c r="C233" s="106" t="s">
        <v>2631</v>
      </c>
      <c r="D233" s="106" t="s">
        <v>2630</v>
      </c>
      <c r="E233" s="107" t="str">
        <f t="shared" si="7"/>
        <v>CLEVELAND, OH, 44115</v>
      </c>
      <c r="F233" s="106" t="s">
        <v>2630</v>
      </c>
      <c r="G233" s="106" t="s">
        <v>969</v>
      </c>
      <c r="H233" s="106" t="s">
        <v>2759</v>
      </c>
      <c r="I233" s="106" t="s">
        <v>2760</v>
      </c>
      <c r="J233" s="106" t="s">
        <v>843</v>
      </c>
      <c r="K233" s="106" t="s">
        <v>707</v>
      </c>
      <c r="L233" s="106" t="s">
        <v>970</v>
      </c>
      <c r="N233" s="91">
        <f t="shared" si="8"/>
        <v>1</v>
      </c>
      <c r="O233" s="79" t="s">
        <v>2646</v>
      </c>
      <c r="P233" s="79" t="s">
        <v>2646</v>
      </c>
      <c r="Q233" s="79" t="s">
        <v>2645</v>
      </c>
      <c r="R233" s="79" t="s">
        <v>2762</v>
      </c>
      <c r="S233" s="79" t="s">
        <v>2763</v>
      </c>
      <c r="T233" s="79" t="s">
        <v>826</v>
      </c>
      <c r="U233" s="79" t="s">
        <v>827</v>
      </c>
      <c r="V233" s="79" t="s">
        <v>707</v>
      </c>
      <c r="W233" s="79" t="s">
        <v>828</v>
      </c>
      <c r="Y233" s="79" t="s">
        <v>2645</v>
      </c>
    </row>
    <row r="234" spans="2:25" ht="12.75" customHeight="1" x14ac:dyDescent="0.2">
      <c r="B234" s="106" t="s">
        <v>2629</v>
      </c>
      <c r="C234" s="106" t="s">
        <v>2629</v>
      </c>
      <c r="D234" s="106" t="s">
        <v>2628</v>
      </c>
      <c r="E234" s="107" t="str">
        <f t="shared" si="7"/>
        <v>AKRON, OH, 44305</v>
      </c>
      <c r="F234" s="106" t="s">
        <v>2628</v>
      </c>
      <c r="G234" s="106" t="s">
        <v>2615</v>
      </c>
      <c r="H234" s="106" t="s">
        <v>2762</v>
      </c>
      <c r="I234" s="106" t="s">
        <v>2763</v>
      </c>
      <c r="J234" s="106" t="s">
        <v>733</v>
      </c>
      <c r="K234" s="106" t="s">
        <v>707</v>
      </c>
      <c r="L234" s="106" t="s">
        <v>2616</v>
      </c>
      <c r="N234" s="91">
        <f t="shared" si="8"/>
        <v>1</v>
      </c>
      <c r="O234" s="79" t="s">
        <v>2643</v>
      </c>
      <c r="P234" s="79" t="s">
        <v>2643</v>
      </c>
      <c r="Q234" s="79" t="s">
        <v>2642</v>
      </c>
      <c r="R234" s="79" t="s">
        <v>2767</v>
      </c>
      <c r="S234" s="79" t="s">
        <v>2798</v>
      </c>
      <c r="T234" s="79" t="s">
        <v>821</v>
      </c>
      <c r="U234" s="79" t="s">
        <v>822</v>
      </c>
      <c r="V234" s="79" t="s">
        <v>707</v>
      </c>
      <c r="W234" s="79" t="s">
        <v>823</v>
      </c>
      <c r="Y234" s="79" t="s">
        <v>2642</v>
      </c>
    </row>
    <row r="235" spans="2:25" ht="12.75" customHeight="1" x14ac:dyDescent="0.2">
      <c r="B235" s="143" t="s">
        <v>2629</v>
      </c>
      <c r="C235" s="143" t="s">
        <v>2629</v>
      </c>
      <c r="D235" s="143" t="s">
        <v>2641</v>
      </c>
      <c r="E235" s="107" t="str">
        <f t="shared" si="7"/>
        <v>AKRON, OH, 44305</v>
      </c>
      <c r="F235" s="143" t="s">
        <v>2641</v>
      </c>
      <c r="G235" s="143" t="s">
        <v>2615</v>
      </c>
      <c r="H235" s="143" t="s">
        <v>2762</v>
      </c>
      <c r="I235" s="143" t="s">
        <v>2763</v>
      </c>
      <c r="J235" s="143" t="s">
        <v>733</v>
      </c>
      <c r="K235" s="143" t="s">
        <v>707</v>
      </c>
      <c r="L235" s="143" t="s">
        <v>2616</v>
      </c>
      <c r="N235" s="91">
        <f t="shared" si="8"/>
        <v>1</v>
      </c>
      <c r="O235" s="79" t="s">
        <v>2649</v>
      </c>
      <c r="P235" s="79" t="s">
        <v>2649</v>
      </c>
      <c r="Q235" s="79" t="s">
        <v>2648</v>
      </c>
      <c r="R235" s="79" t="s">
        <v>2759</v>
      </c>
      <c r="S235" s="79" t="s">
        <v>2760</v>
      </c>
      <c r="T235" s="79" t="s">
        <v>842</v>
      </c>
      <c r="U235" s="79" t="s">
        <v>843</v>
      </c>
      <c r="V235" s="79" t="s">
        <v>707</v>
      </c>
      <c r="W235" s="79" t="s">
        <v>844</v>
      </c>
      <c r="Y235" s="79" t="s">
        <v>2648</v>
      </c>
    </row>
    <row r="236" spans="2:25" ht="12.75" customHeight="1" x14ac:dyDescent="0.2">
      <c r="B236" s="143" t="s">
        <v>2629</v>
      </c>
      <c r="C236" s="143" t="s">
        <v>2629</v>
      </c>
      <c r="D236" s="143" t="s">
        <v>2652</v>
      </c>
      <c r="E236" s="107" t="str">
        <f t="shared" si="7"/>
        <v>AKRON, OH, 44305</v>
      </c>
      <c r="F236" s="143" t="s">
        <v>2652</v>
      </c>
      <c r="G236" s="143" t="s">
        <v>2615</v>
      </c>
      <c r="H236" s="143" t="s">
        <v>2762</v>
      </c>
      <c r="I236" s="143" t="s">
        <v>2763</v>
      </c>
      <c r="J236" s="143" t="s">
        <v>733</v>
      </c>
      <c r="K236" s="143" t="s">
        <v>707</v>
      </c>
      <c r="L236" s="143" t="s">
        <v>2616</v>
      </c>
      <c r="N236" s="91">
        <f t="shared" si="8"/>
        <v>1</v>
      </c>
      <c r="O236" s="79" t="s">
        <v>2107</v>
      </c>
      <c r="P236" s="79" t="s">
        <v>2107</v>
      </c>
      <c r="Q236" s="79" t="s">
        <v>2106</v>
      </c>
      <c r="R236" s="79" t="s">
        <v>2780</v>
      </c>
      <c r="S236" s="79" t="s">
        <v>2781</v>
      </c>
      <c r="T236" s="79" t="s">
        <v>2108</v>
      </c>
      <c r="U236" s="79" t="s">
        <v>2101</v>
      </c>
      <c r="V236" s="79" t="s">
        <v>707</v>
      </c>
      <c r="W236" s="79" t="s">
        <v>2102</v>
      </c>
      <c r="Y236" s="79" t="s">
        <v>2106</v>
      </c>
    </row>
    <row r="237" spans="2:25" ht="12.75" customHeight="1" x14ac:dyDescent="0.2">
      <c r="B237" s="143" t="s">
        <v>2629</v>
      </c>
      <c r="C237" s="143" t="s">
        <v>2629</v>
      </c>
      <c r="D237" s="143" t="s">
        <v>2659</v>
      </c>
      <c r="E237" s="107" t="str">
        <f t="shared" si="7"/>
        <v>AKRON, OH, 44305</v>
      </c>
      <c r="F237" s="143" t="s">
        <v>2659</v>
      </c>
      <c r="G237" s="143" t="s">
        <v>2615</v>
      </c>
      <c r="H237" s="143" t="s">
        <v>2762</v>
      </c>
      <c r="I237" s="143" t="s">
        <v>2763</v>
      </c>
      <c r="J237" s="143" t="s">
        <v>733</v>
      </c>
      <c r="K237" s="143" t="s">
        <v>707</v>
      </c>
      <c r="L237" s="143" t="s">
        <v>2616</v>
      </c>
      <c r="N237" s="91">
        <f t="shared" si="8"/>
        <v>1</v>
      </c>
      <c r="O237" s="79" t="s">
        <v>1031</v>
      </c>
      <c r="P237" s="79" t="s">
        <v>1031</v>
      </c>
      <c r="Q237" s="79" t="s">
        <v>1030</v>
      </c>
      <c r="R237" s="79" t="s">
        <v>2772</v>
      </c>
      <c r="S237" s="79" t="s">
        <v>2788</v>
      </c>
      <c r="T237" s="79" t="s">
        <v>1032</v>
      </c>
      <c r="U237" s="79" t="s">
        <v>1033</v>
      </c>
      <c r="V237" s="79" t="s">
        <v>707</v>
      </c>
      <c r="W237" s="79" t="s">
        <v>1034</v>
      </c>
      <c r="Y237" s="79" t="s">
        <v>1030</v>
      </c>
    </row>
    <row r="238" spans="2:25" ht="12.75" customHeight="1" x14ac:dyDescent="0.2">
      <c r="B238" s="143" t="s">
        <v>2646</v>
      </c>
      <c r="C238" s="143" t="s">
        <v>2646</v>
      </c>
      <c r="D238" s="143" t="s">
        <v>2645</v>
      </c>
      <c r="E238" s="107" t="str">
        <f t="shared" si="7"/>
        <v>COPLEY, OH, 44321</v>
      </c>
      <c r="F238" s="143" t="s">
        <v>2645</v>
      </c>
      <c r="G238" s="143" t="s">
        <v>826</v>
      </c>
      <c r="H238" s="143" t="s">
        <v>2762</v>
      </c>
      <c r="I238" s="143" t="s">
        <v>2763</v>
      </c>
      <c r="J238" s="143" t="s">
        <v>827</v>
      </c>
      <c r="K238" s="143" t="s">
        <v>707</v>
      </c>
      <c r="L238" s="143" t="s">
        <v>828</v>
      </c>
      <c r="N238" s="91">
        <f t="shared" si="8"/>
        <v>1</v>
      </c>
      <c r="O238" s="79" t="s">
        <v>2028</v>
      </c>
      <c r="P238" s="79" t="s">
        <v>2028</v>
      </c>
      <c r="Q238" s="79" t="s">
        <v>2027</v>
      </c>
      <c r="R238" s="79" t="s">
        <v>2770</v>
      </c>
      <c r="S238" s="79" t="s">
        <v>2811</v>
      </c>
      <c r="T238" s="79" t="s">
        <v>2029</v>
      </c>
      <c r="U238" s="79" t="s">
        <v>2030</v>
      </c>
      <c r="V238" s="79" t="s">
        <v>723</v>
      </c>
      <c r="W238" s="79" t="s">
        <v>2031</v>
      </c>
      <c r="Y238" s="79" t="s">
        <v>2027</v>
      </c>
    </row>
    <row r="239" spans="2:25" ht="12.75" customHeight="1" x14ac:dyDescent="0.2">
      <c r="B239" s="143" t="s">
        <v>2643</v>
      </c>
      <c r="C239" s="143" t="s">
        <v>2643</v>
      </c>
      <c r="D239" s="143" t="s">
        <v>2642</v>
      </c>
      <c r="E239" s="107" t="str">
        <f t="shared" si="7"/>
        <v>KENT, OH, 44240</v>
      </c>
      <c r="F239" s="143" t="s">
        <v>2642</v>
      </c>
      <c r="G239" s="143" t="s">
        <v>821</v>
      </c>
      <c r="H239" s="143" t="s">
        <v>2767</v>
      </c>
      <c r="I239" s="143" t="s">
        <v>2798</v>
      </c>
      <c r="J239" s="143" t="s">
        <v>822</v>
      </c>
      <c r="K239" s="143" t="s">
        <v>707</v>
      </c>
      <c r="L239" s="143" t="s">
        <v>823</v>
      </c>
      <c r="N239" s="91">
        <f t="shared" si="8"/>
        <v>1</v>
      </c>
      <c r="O239" s="79" t="s">
        <v>2606</v>
      </c>
      <c r="P239" s="79" t="s">
        <v>2606</v>
      </c>
      <c r="Q239" s="79" t="s">
        <v>2605</v>
      </c>
      <c r="R239" s="79" t="s">
        <v>2767</v>
      </c>
      <c r="S239" s="79" t="s">
        <v>2798</v>
      </c>
      <c r="T239" s="79" t="s">
        <v>2607</v>
      </c>
      <c r="U239" s="79" t="s">
        <v>1230</v>
      </c>
      <c r="V239" s="79" t="s">
        <v>707</v>
      </c>
      <c r="W239" s="79" t="s">
        <v>1231</v>
      </c>
      <c r="Y239" s="79" t="s">
        <v>2605</v>
      </c>
    </row>
    <row r="240" spans="2:25" ht="12.75" customHeight="1" x14ac:dyDescent="0.2">
      <c r="B240" s="143" t="s">
        <v>2649</v>
      </c>
      <c r="C240" s="143" t="s">
        <v>2649</v>
      </c>
      <c r="D240" s="143" t="s">
        <v>2648</v>
      </c>
      <c r="E240" s="107" t="str">
        <f t="shared" si="7"/>
        <v>CLEVELAND, OH, 44135</v>
      </c>
      <c r="F240" s="143" t="s">
        <v>2648</v>
      </c>
      <c r="G240" s="143" t="s">
        <v>842</v>
      </c>
      <c r="H240" s="143" t="s">
        <v>2759</v>
      </c>
      <c r="I240" s="143" t="s">
        <v>2760</v>
      </c>
      <c r="J240" s="143" t="s">
        <v>843</v>
      </c>
      <c r="K240" s="143" t="s">
        <v>707</v>
      </c>
      <c r="L240" s="143" t="s">
        <v>844</v>
      </c>
      <c r="N240" s="91">
        <f t="shared" si="8"/>
        <v>1</v>
      </c>
      <c r="O240" s="79" t="s">
        <v>2609</v>
      </c>
      <c r="P240" s="79" t="s">
        <v>2609</v>
      </c>
      <c r="Q240" s="79" t="s">
        <v>2608</v>
      </c>
      <c r="R240" s="79" t="s">
        <v>2762</v>
      </c>
      <c r="S240" s="79" t="s">
        <v>2763</v>
      </c>
      <c r="T240" s="79" t="s">
        <v>997</v>
      </c>
      <c r="U240" s="79" t="s">
        <v>2610</v>
      </c>
      <c r="V240" s="79" t="s">
        <v>707</v>
      </c>
      <c r="W240" s="79" t="s">
        <v>999</v>
      </c>
      <c r="Y240" s="79" t="s">
        <v>2608</v>
      </c>
    </row>
    <row r="241" spans="2:25" ht="12.75" customHeight="1" x14ac:dyDescent="0.2">
      <c r="B241" s="106" t="s">
        <v>2107</v>
      </c>
      <c r="C241" s="106" t="s">
        <v>2107</v>
      </c>
      <c r="D241" s="106" t="s">
        <v>2106</v>
      </c>
      <c r="E241" s="107" t="str">
        <f t="shared" si="7"/>
        <v>PIKETON, OH, 45661</v>
      </c>
      <c r="F241" s="106" t="s">
        <v>2106</v>
      </c>
      <c r="G241" s="106" t="s">
        <v>2108</v>
      </c>
      <c r="H241" s="106" t="s">
        <v>2780</v>
      </c>
      <c r="I241" s="106" t="s">
        <v>2818</v>
      </c>
      <c r="J241" s="106" t="s">
        <v>2101</v>
      </c>
      <c r="K241" s="106" t="s">
        <v>707</v>
      </c>
      <c r="L241" s="106" t="s">
        <v>2102</v>
      </c>
      <c r="N241" s="91">
        <f t="shared" si="8"/>
        <v>1</v>
      </c>
      <c r="O241" s="79" t="s">
        <v>2620</v>
      </c>
      <c r="P241" s="79" t="s">
        <v>2620</v>
      </c>
      <c r="Q241" s="79" t="s">
        <v>2619</v>
      </c>
      <c r="R241" s="79" t="s">
        <v>2767</v>
      </c>
      <c r="S241" s="79" t="s">
        <v>2768</v>
      </c>
      <c r="T241" s="79" t="s">
        <v>1277</v>
      </c>
      <c r="U241" s="79" t="s">
        <v>835</v>
      </c>
      <c r="V241" s="79" t="s">
        <v>707</v>
      </c>
      <c r="W241" s="79" t="s">
        <v>836</v>
      </c>
      <c r="Y241" s="79" t="s">
        <v>2619</v>
      </c>
    </row>
    <row r="242" spans="2:25" ht="12.75" customHeight="1" x14ac:dyDescent="0.2">
      <c r="B242" s="106" t="s">
        <v>3144</v>
      </c>
      <c r="C242" s="106" t="s">
        <v>3144</v>
      </c>
      <c r="D242" s="106" t="s">
        <v>3145</v>
      </c>
      <c r="E242" s="107" t="str">
        <f t="shared" si="7"/>
        <v>TRIDELPHIA, WV, 26059</v>
      </c>
      <c r="F242" s="106" t="s">
        <v>3145</v>
      </c>
      <c r="G242" s="106" t="s">
        <v>3146</v>
      </c>
      <c r="H242" s="106" t="s">
        <v>2791</v>
      </c>
      <c r="I242" s="106" t="s">
        <v>2765</v>
      </c>
      <c r="J242" s="106" t="s">
        <v>3147</v>
      </c>
      <c r="K242" s="106" t="s">
        <v>1489</v>
      </c>
      <c r="L242" s="106" t="s">
        <v>3148</v>
      </c>
      <c r="N242" s="91">
        <f t="shared" si="8"/>
        <v>1</v>
      </c>
      <c r="O242" s="79" t="s">
        <v>2614</v>
      </c>
      <c r="P242" s="79" t="s">
        <v>2614</v>
      </c>
      <c r="Q242" s="79" t="s">
        <v>2613</v>
      </c>
      <c r="R242" s="79" t="s">
        <v>2762</v>
      </c>
      <c r="S242" s="79" t="s">
        <v>2763</v>
      </c>
      <c r="T242" s="79" t="s">
        <v>2615</v>
      </c>
      <c r="U242" s="79" t="s">
        <v>733</v>
      </c>
      <c r="V242" s="79" t="s">
        <v>707</v>
      </c>
      <c r="W242" s="79" t="s">
        <v>2616</v>
      </c>
      <c r="Y242" s="79" t="s">
        <v>2613</v>
      </c>
    </row>
    <row r="243" spans="2:25" ht="12.75" customHeight="1" x14ac:dyDescent="0.2">
      <c r="B243" s="106" t="s">
        <v>1031</v>
      </c>
      <c r="C243" s="106" t="s">
        <v>1031</v>
      </c>
      <c r="D243" s="106" t="s">
        <v>1030</v>
      </c>
      <c r="E243" s="107" t="str">
        <f t="shared" si="7"/>
        <v>SYLVANIA, OH, 43560</v>
      </c>
      <c r="F243" s="106" t="s">
        <v>1030</v>
      </c>
      <c r="G243" s="106" t="s">
        <v>1032</v>
      </c>
      <c r="H243" s="106" t="s">
        <v>2772</v>
      </c>
      <c r="I243" s="106" t="s">
        <v>2788</v>
      </c>
      <c r="J243" s="106" t="s">
        <v>1033</v>
      </c>
      <c r="K243" s="106" t="s">
        <v>707</v>
      </c>
      <c r="L243" s="106" t="s">
        <v>1034</v>
      </c>
      <c r="N243" s="91">
        <f t="shared" si="8"/>
        <v>1</v>
      </c>
      <c r="O243" s="79" t="s">
        <v>2612</v>
      </c>
      <c r="P243" s="79" t="s">
        <v>2612</v>
      </c>
      <c r="Q243" s="79" t="s">
        <v>2611</v>
      </c>
      <c r="R243" s="79" t="s">
        <v>2762</v>
      </c>
      <c r="S243" s="79" t="s">
        <v>2766</v>
      </c>
      <c r="T243" s="79" t="s">
        <v>816</v>
      </c>
      <c r="U243" s="79" t="s">
        <v>817</v>
      </c>
      <c r="V243" s="79" t="s">
        <v>707</v>
      </c>
      <c r="W243" s="79" t="s">
        <v>818</v>
      </c>
      <c r="Y243" s="79" t="s">
        <v>2611</v>
      </c>
    </row>
    <row r="244" spans="2:25" ht="12.75" customHeight="1" x14ac:dyDescent="0.2">
      <c r="B244" s="106" t="s">
        <v>2028</v>
      </c>
      <c r="C244" s="106" t="s">
        <v>2028</v>
      </c>
      <c r="D244" s="106" t="s">
        <v>2027</v>
      </c>
      <c r="E244" s="107" t="str">
        <f t="shared" si="7"/>
        <v>VERSAILLES, IN, 47042</v>
      </c>
      <c r="F244" s="106" t="s">
        <v>2027</v>
      </c>
      <c r="G244" s="106" t="s">
        <v>2029</v>
      </c>
      <c r="H244" s="106" t="s">
        <v>2770</v>
      </c>
      <c r="I244" s="106" t="s">
        <v>2811</v>
      </c>
      <c r="J244" s="106" t="s">
        <v>2030</v>
      </c>
      <c r="K244" s="106" t="s">
        <v>723</v>
      </c>
      <c r="L244" s="106" t="s">
        <v>2031</v>
      </c>
      <c r="N244" s="91">
        <f t="shared" si="8"/>
        <v>1</v>
      </c>
      <c r="O244" s="79" t="s">
        <v>2618</v>
      </c>
      <c r="P244" s="79" t="s">
        <v>2618</v>
      </c>
      <c r="Q244" s="79" t="s">
        <v>2617</v>
      </c>
      <c r="R244" s="79" t="s">
        <v>2762</v>
      </c>
      <c r="S244" s="79" t="s">
        <v>2763</v>
      </c>
      <c r="T244" s="79" t="s">
        <v>826</v>
      </c>
      <c r="U244" s="79" t="s">
        <v>827</v>
      </c>
      <c r="V244" s="79" t="s">
        <v>707</v>
      </c>
      <c r="W244" s="79" t="s">
        <v>828</v>
      </c>
      <c r="Y244" s="79" t="s">
        <v>2617</v>
      </c>
    </row>
    <row r="245" spans="2:25" ht="12.75" customHeight="1" x14ac:dyDescent="0.2">
      <c r="B245" s="106" t="s">
        <v>2606</v>
      </c>
      <c r="C245" s="106" t="s">
        <v>2606</v>
      </c>
      <c r="D245" s="106" t="s">
        <v>2605</v>
      </c>
      <c r="E245" s="107" t="str">
        <f t="shared" si="7"/>
        <v>SANDUSKY, OH, 44870</v>
      </c>
      <c r="F245" s="106" t="s">
        <v>2605</v>
      </c>
      <c r="G245" s="106" t="s">
        <v>2607</v>
      </c>
      <c r="H245" s="106" t="s">
        <v>2767</v>
      </c>
      <c r="I245" s="106" t="s">
        <v>2798</v>
      </c>
      <c r="J245" s="106" t="s">
        <v>1230</v>
      </c>
      <c r="K245" s="106" t="s">
        <v>707</v>
      </c>
      <c r="L245" s="106" t="s">
        <v>1231</v>
      </c>
      <c r="N245" s="91">
        <f t="shared" si="8"/>
        <v>1</v>
      </c>
      <c r="O245" s="79" t="s">
        <v>1026</v>
      </c>
      <c r="P245" s="79" t="s">
        <v>1026</v>
      </c>
      <c r="Q245" s="79" t="s">
        <v>1025</v>
      </c>
      <c r="R245" s="79" t="s">
        <v>2772</v>
      </c>
      <c r="S245" s="79" t="s">
        <v>2788</v>
      </c>
      <c r="T245" s="79" t="s">
        <v>1027</v>
      </c>
      <c r="U245" s="79" t="s">
        <v>1028</v>
      </c>
      <c r="V245" s="79" t="s">
        <v>707</v>
      </c>
      <c r="W245" s="79" t="s">
        <v>1029</v>
      </c>
      <c r="Y245" s="79" t="s">
        <v>1025</v>
      </c>
    </row>
    <row r="246" spans="2:25" ht="12.75" customHeight="1" x14ac:dyDescent="0.2">
      <c r="B246" s="106" t="s">
        <v>2606</v>
      </c>
      <c r="C246" s="106" t="s">
        <v>2606</v>
      </c>
      <c r="D246" s="106" t="s">
        <v>3168</v>
      </c>
      <c r="E246" s="107" t="str">
        <f t="shared" si="7"/>
        <v>SANDUSKY, OH, 44870</v>
      </c>
      <c r="F246" s="106" t="s">
        <v>3168</v>
      </c>
      <c r="G246" s="106" t="s">
        <v>2607</v>
      </c>
      <c r="H246" s="106" t="s">
        <v>2767</v>
      </c>
      <c r="I246" s="106" t="s">
        <v>2798</v>
      </c>
      <c r="J246" s="106" t="s">
        <v>1230</v>
      </c>
      <c r="K246" s="106" t="s">
        <v>707</v>
      </c>
      <c r="L246" s="106" t="s">
        <v>1231</v>
      </c>
      <c r="N246" s="91">
        <f t="shared" si="8"/>
        <v>2</v>
      </c>
      <c r="O246" s="79" t="s">
        <v>1026</v>
      </c>
      <c r="P246" s="79" t="s">
        <v>1026</v>
      </c>
      <c r="Q246" s="79" t="s">
        <v>2586</v>
      </c>
      <c r="R246" s="79" t="s">
        <v>2772</v>
      </c>
      <c r="S246" s="79" t="s">
        <v>2788</v>
      </c>
      <c r="T246" s="79" t="s">
        <v>1027</v>
      </c>
      <c r="U246" s="79" t="s">
        <v>1028</v>
      </c>
      <c r="V246" s="79" t="s">
        <v>707</v>
      </c>
      <c r="W246" s="79" t="s">
        <v>1029</v>
      </c>
      <c r="Y246" s="79" t="s">
        <v>2586</v>
      </c>
    </row>
    <row r="247" spans="2:25" ht="12.75" customHeight="1" x14ac:dyDescent="0.2">
      <c r="B247" s="106" t="s">
        <v>2609</v>
      </c>
      <c r="C247" s="106" t="s">
        <v>2609</v>
      </c>
      <c r="D247" s="106" t="s">
        <v>2608</v>
      </c>
      <c r="E247" s="107" t="str">
        <f t="shared" si="7"/>
        <v>Twinsburg, OH, 44087</v>
      </c>
      <c r="F247" s="106" t="s">
        <v>2608</v>
      </c>
      <c r="G247" s="106" t="s">
        <v>997</v>
      </c>
      <c r="H247" s="106" t="s">
        <v>2762</v>
      </c>
      <c r="I247" s="106" t="s">
        <v>2763</v>
      </c>
      <c r="J247" s="106" t="s">
        <v>2610</v>
      </c>
      <c r="K247" s="106" t="s">
        <v>707</v>
      </c>
      <c r="L247" s="106" t="s">
        <v>999</v>
      </c>
      <c r="N247" s="91">
        <f t="shared" si="8"/>
        <v>1</v>
      </c>
      <c r="O247" s="79" t="s">
        <v>2148</v>
      </c>
      <c r="P247" s="79" t="s">
        <v>2148</v>
      </c>
      <c r="Q247" s="79" t="s">
        <v>2147</v>
      </c>
      <c r="R247" s="79" t="s">
        <v>2780</v>
      </c>
      <c r="S247" s="79" t="s">
        <v>2823</v>
      </c>
      <c r="T247" s="79" t="s">
        <v>2149</v>
      </c>
      <c r="U247" s="79" t="s">
        <v>2150</v>
      </c>
      <c r="V247" s="79" t="s">
        <v>707</v>
      </c>
      <c r="W247" s="79" t="s">
        <v>2151</v>
      </c>
      <c r="Y247" s="79" t="s">
        <v>2147</v>
      </c>
    </row>
    <row r="248" spans="2:25" ht="12.75" customHeight="1" x14ac:dyDescent="0.2">
      <c r="B248" s="106" t="s">
        <v>2620</v>
      </c>
      <c r="C248" s="106" t="s">
        <v>2620</v>
      </c>
      <c r="D248" s="106" t="s">
        <v>2619</v>
      </c>
      <c r="E248" s="107" t="str">
        <f t="shared" si="7"/>
        <v>MEDINA, OH, 44256</v>
      </c>
      <c r="F248" s="106" t="s">
        <v>2619</v>
      </c>
      <c r="G248" s="106" t="s">
        <v>1277</v>
      </c>
      <c r="H248" s="106" t="s">
        <v>2767</v>
      </c>
      <c r="I248" s="106" t="s">
        <v>2768</v>
      </c>
      <c r="J248" s="106" t="s">
        <v>835</v>
      </c>
      <c r="K248" s="106" t="s">
        <v>707</v>
      </c>
      <c r="L248" s="106" t="s">
        <v>836</v>
      </c>
      <c r="N248" s="91">
        <f t="shared" si="8"/>
        <v>1</v>
      </c>
      <c r="O248" s="79" t="s">
        <v>2153</v>
      </c>
      <c r="P248" s="79" t="s">
        <v>2153</v>
      </c>
      <c r="Q248" s="79" t="s">
        <v>2152</v>
      </c>
      <c r="R248" s="79" t="s">
        <v>2770</v>
      </c>
      <c r="S248" s="79" t="s">
        <v>2771</v>
      </c>
      <c r="T248" s="79" t="s">
        <v>2024</v>
      </c>
      <c r="U248" s="79" t="s">
        <v>2025</v>
      </c>
      <c r="V248" s="79" t="s">
        <v>707</v>
      </c>
      <c r="W248" s="79" t="s">
        <v>2026</v>
      </c>
      <c r="Y248" s="79" t="s">
        <v>2152</v>
      </c>
    </row>
    <row r="249" spans="2:25" ht="12.75" customHeight="1" x14ac:dyDescent="0.2">
      <c r="B249" s="106" t="s">
        <v>2614</v>
      </c>
      <c r="C249" s="106" t="s">
        <v>2614</v>
      </c>
      <c r="D249" s="106" t="s">
        <v>2613</v>
      </c>
      <c r="E249" s="107" t="str">
        <f t="shared" si="7"/>
        <v>AKRON, OH, 44305</v>
      </c>
      <c r="F249" s="106" t="s">
        <v>2613</v>
      </c>
      <c r="G249" s="106" t="s">
        <v>2615</v>
      </c>
      <c r="H249" s="106" t="s">
        <v>2762</v>
      </c>
      <c r="I249" s="106" t="s">
        <v>2763</v>
      </c>
      <c r="J249" s="106" t="s">
        <v>733</v>
      </c>
      <c r="K249" s="106" t="s">
        <v>707</v>
      </c>
      <c r="L249" s="106" t="s">
        <v>2616</v>
      </c>
      <c r="N249" s="91">
        <f t="shared" si="8"/>
        <v>1</v>
      </c>
      <c r="O249" s="79" t="s">
        <v>862</v>
      </c>
      <c r="P249" s="79" t="s">
        <v>862</v>
      </c>
      <c r="Q249" s="79" t="s">
        <v>861</v>
      </c>
      <c r="R249" s="79" t="s">
        <v>2804</v>
      </c>
      <c r="S249" s="79" t="s">
        <v>2764</v>
      </c>
      <c r="T249" s="79" t="s">
        <v>863</v>
      </c>
      <c r="U249" s="79" t="s">
        <v>864</v>
      </c>
      <c r="V249" s="79" t="s">
        <v>723</v>
      </c>
      <c r="W249" s="79" t="s">
        <v>865</v>
      </c>
      <c r="Y249" s="79" t="s">
        <v>861</v>
      </c>
    </row>
    <row r="250" spans="2:25" ht="12.75" customHeight="1" x14ac:dyDescent="0.2">
      <c r="B250" s="106" t="s">
        <v>2612</v>
      </c>
      <c r="C250" s="106" t="s">
        <v>2612</v>
      </c>
      <c r="D250" s="106" t="s">
        <v>2611</v>
      </c>
      <c r="E250" s="107" t="str">
        <f t="shared" si="7"/>
        <v>ALLIANCE, OH, 44601</v>
      </c>
      <c r="F250" s="106" t="s">
        <v>2611</v>
      </c>
      <c r="G250" s="106" t="s">
        <v>816</v>
      </c>
      <c r="H250" s="106" t="s">
        <v>2762</v>
      </c>
      <c r="I250" s="106" t="s">
        <v>2766</v>
      </c>
      <c r="J250" s="106" t="s">
        <v>817</v>
      </c>
      <c r="K250" s="106" t="s">
        <v>707</v>
      </c>
      <c r="L250" s="106" t="s">
        <v>818</v>
      </c>
      <c r="N250" s="91">
        <f t="shared" si="8"/>
        <v>1</v>
      </c>
      <c r="O250" s="79" t="s">
        <v>2203</v>
      </c>
      <c r="P250" s="79" t="s">
        <v>2203</v>
      </c>
      <c r="Q250" s="79" t="s">
        <v>2202</v>
      </c>
      <c r="R250" s="79" t="s">
        <v>2782</v>
      </c>
      <c r="S250" s="79" t="s">
        <v>2764</v>
      </c>
      <c r="T250" s="79" t="s">
        <v>2204</v>
      </c>
      <c r="U250" s="79" t="s">
        <v>2205</v>
      </c>
      <c r="V250" s="79" t="s">
        <v>1489</v>
      </c>
      <c r="W250" s="79" t="s">
        <v>2206</v>
      </c>
      <c r="Y250" s="79" t="s">
        <v>2202</v>
      </c>
    </row>
    <row r="251" spans="2:25" ht="12.75" customHeight="1" x14ac:dyDescent="0.2">
      <c r="B251" s="106" t="s">
        <v>2618</v>
      </c>
      <c r="C251" s="106" t="s">
        <v>2618</v>
      </c>
      <c r="D251" s="106" t="s">
        <v>2617</v>
      </c>
      <c r="E251" s="107" t="str">
        <f t="shared" si="7"/>
        <v>COPLEY, OH, 44321</v>
      </c>
      <c r="F251" s="106" t="s">
        <v>2617</v>
      </c>
      <c r="G251" s="106" t="s">
        <v>826</v>
      </c>
      <c r="H251" s="106" t="s">
        <v>2762</v>
      </c>
      <c r="I251" s="106" t="s">
        <v>2763</v>
      </c>
      <c r="J251" s="106" t="s">
        <v>827</v>
      </c>
      <c r="K251" s="106" t="s">
        <v>707</v>
      </c>
      <c r="L251" s="106" t="s">
        <v>828</v>
      </c>
      <c r="N251" s="91">
        <f t="shared" si="8"/>
        <v>1</v>
      </c>
      <c r="O251" s="79" t="s">
        <v>2195</v>
      </c>
      <c r="P251" s="79" t="s">
        <v>2195</v>
      </c>
      <c r="Q251" s="79" t="s">
        <v>2194</v>
      </c>
      <c r="R251" s="79" t="s">
        <v>2780</v>
      </c>
      <c r="S251" s="79" t="s">
        <v>2799</v>
      </c>
      <c r="T251" s="79" t="s">
        <v>2196</v>
      </c>
      <c r="U251" s="79" t="s">
        <v>2135</v>
      </c>
      <c r="V251" s="79" t="s">
        <v>707</v>
      </c>
      <c r="W251" s="79" t="s">
        <v>2136</v>
      </c>
      <c r="Y251" s="79" t="s">
        <v>2194</v>
      </c>
    </row>
    <row r="252" spans="2:25" ht="12.75" customHeight="1" x14ac:dyDescent="0.2">
      <c r="B252" s="106" t="s">
        <v>1026</v>
      </c>
      <c r="C252" s="106" t="s">
        <v>1026</v>
      </c>
      <c r="D252" s="106" t="s">
        <v>1025</v>
      </c>
      <c r="E252" s="107" t="str">
        <f t="shared" si="7"/>
        <v>WATERVILLE, OH, 43566</v>
      </c>
      <c r="F252" s="106" t="s">
        <v>1025</v>
      </c>
      <c r="G252" s="106" t="s">
        <v>1027</v>
      </c>
      <c r="H252" s="106" t="s">
        <v>2772</v>
      </c>
      <c r="I252" s="106" t="s">
        <v>2788</v>
      </c>
      <c r="J252" s="106" t="s">
        <v>1028</v>
      </c>
      <c r="K252" s="106" t="s">
        <v>707</v>
      </c>
      <c r="L252" s="106" t="s">
        <v>1029</v>
      </c>
      <c r="N252" s="91">
        <f t="shared" si="8"/>
        <v>1</v>
      </c>
      <c r="O252" s="79" t="s">
        <v>1957</v>
      </c>
      <c r="P252" s="79" t="s">
        <v>1957</v>
      </c>
      <c r="Q252" s="79" t="s">
        <v>1956</v>
      </c>
      <c r="R252" s="79" t="s">
        <v>2770</v>
      </c>
      <c r="S252" s="79" t="s">
        <v>2824</v>
      </c>
      <c r="T252" s="79" t="s">
        <v>1958</v>
      </c>
      <c r="U252" s="79" t="s">
        <v>1959</v>
      </c>
      <c r="V252" s="79" t="s">
        <v>707</v>
      </c>
      <c r="W252" s="79" t="s">
        <v>1960</v>
      </c>
      <c r="Y252" s="79" t="s">
        <v>1956</v>
      </c>
    </row>
    <row r="253" spans="2:25" ht="12.75" customHeight="1" x14ac:dyDescent="0.2">
      <c r="B253" s="106" t="s">
        <v>1026</v>
      </c>
      <c r="C253" s="106" t="s">
        <v>1026</v>
      </c>
      <c r="D253" s="106" t="s">
        <v>2586</v>
      </c>
      <c r="E253" s="107" t="str">
        <f t="shared" si="7"/>
        <v>WATERVILLE, OH, 43566</v>
      </c>
      <c r="F253" s="106" t="s">
        <v>2586</v>
      </c>
      <c r="G253" s="106" t="s">
        <v>1027</v>
      </c>
      <c r="H253" s="106" t="s">
        <v>2772</v>
      </c>
      <c r="I253" s="106" t="s">
        <v>2788</v>
      </c>
      <c r="J253" s="106" t="s">
        <v>1028</v>
      </c>
      <c r="K253" s="106" t="s">
        <v>707</v>
      </c>
      <c r="L253" s="106" t="s">
        <v>1029</v>
      </c>
      <c r="N253" s="91">
        <f t="shared" si="8"/>
        <v>1</v>
      </c>
      <c r="O253" s="79" t="s">
        <v>2208</v>
      </c>
      <c r="P253" s="79" t="s">
        <v>2208</v>
      </c>
      <c r="Q253" s="79" t="s">
        <v>2207</v>
      </c>
      <c r="R253" s="79" t="s">
        <v>2782</v>
      </c>
      <c r="S253" s="79" t="s">
        <v>2825</v>
      </c>
      <c r="T253" s="79" t="s">
        <v>2209</v>
      </c>
      <c r="U253" s="79" t="s">
        <v>2210</v>
      </c>
      <c r="V253" s="79" t="s">
        <v>707</v>
      </c>
      <c r="W253" s="79" t="s">
        <v>2211</v>
      </c>
      <c r="Y253" s="79" t="s">
        <v>2207</v>
      </c>
    </row>
    <row r="254" spans="2:25" ht="12.75" customHeight="1" x14ac:dyDescent="0.2">
      <c r="B254" s="106" t="s">
        <v>2148</v>
      </c>
      <c r="C254" s="106" t="s">
        <v>2148</v>
      </c>
      <c r="D254" s="106" t="s">
        <v>2147</v>
      </c>
      <c r="E254" s="107" t="str">
        <f t="shared" si="7"/>
        <v>WINCHESTER, OH, 45697</v>
      </c>
      <c r="F254" s="106" t="s">
        <v>2147</v>
      </c>
      <c r="G254" s="106" t="s">
        <v>2149</v>
      </c>
      <c r="H254" s="106" t="s">
        <v>2780</v>
      </c>
      <c r="I254" s="106" t="s">
        <v>2823</v>
      </c>
      <c r="J254" s="106" t="s">
        <v>2150</v>
      </c>
      <c r="K254" s="106" t="s">
        <v>707</v>
      </c>
      <c r="L254" s="106" t="s">
        <v>2151</v>
      </c>
      <c r="N254" s="91">
        <f t="shared" si="8"/>
        <v>1</v>
      </c>
      <c r="O254" s="79" t="s">
        <v>2217</v>
      </c>
      <c r="P254" s="79" t="s">
        <v>2217</v>
      </c>
      <c r="Q254" s="79" t="s">
        <v>2216</v>
      </c>
      <c r="R254" s="79" t="s">
        <v>2782</v>
      </c>
      <c r="S254" s="79" t="s">
        <v>2764</v>
      </c>
      <c r="T254" s="79" t="s">
        <v>1913</v>
      </c>
      <c r="U254" s="79" t="s">
        <v>1914</v>
      </c>
      <c r="V254" s="79" t="s">
        <v>1489</v>
      </c>
      <c r="W254" s="79" t="s">
        <v>1915</v>
      </c>
      <c r="Y254" s="79" t="s">
        <v>2216</v>
      </c>
    </row>
    <row r="255" spans="2:25" ht="12.75" customHeight="1" x14ac:dyDescent="0.2">
      <c r="B255" s="106" t="s">
        <v>2153</v>
      </c>
      <c r="C255" s="106" t="s">
        <v>2153</v>
      </c>
      <c r="D255" s="106" t="s">
        <v>2152</v>
      </c>
      <c r="E255" s="107" t="str">
        <f t="shared" si="7"/>
        <v>BATAVIA, OH, 45103</v>
      </c>
      <c r="F255" s="106" t="s">
        <v>2152</v>
      </c>
      <c r="G255" s="106" t="s">
        <v>2024</v>
      </c>
      <c r="H255" s="106" t="s">
        <v>2770</v>
      </c>
      <c r="I255" s="106" t="s">
        <v>2771</v>
      </c>
      <c r="J255" s="106" t="s">
        <v>2025</v>
      </c>
      <c r="K255" s="106" t="s">
        <v>707</v>
      </c>
      <c r="L255" s="106" t="s">
        <v>2026</v>
      </c>
      <c r="N255" s="91">
        <f t="shared" si="8"/>
        <v>1</v>
      </c>
      <c r="O255" s="79" t="s">
        <v>2213</v>
      </c>
      <c r="P255" s="79" t="s">
        <v>2213</v>
      </c>
      <c r="Q255" s="79" t="s">
        <v>2212</v>
      </c>
      <c r="R255" s="79" t="s">
        <v>2782</v>
      </c>
      <c r="S255" s="79" t="s">
        <v>2764</v>
      </c>
      <c r="T255" s="79" t="s">
        <v>1900</v>
      </c>
      <c r="U255" s="79" t="s">
        <v>1901</v>
      </c>
      <c r="V255" s="79" t="s">
        <v>1489</v>
      </c>
      <c r="W255" s="79" t="s">
        <v>1902</v>
      </c>
      <c r="Y255" s="79" t="s">
        <v>2212</v>
      </c>
    </row>
    <row r="256" spans="2:25" ht="12.75" customHeight="1" x14ac:dyDescent="0.2">
      <c r="B256" s="106" t="s">
        <v>862</v>
      </c>
      <c r="C256" s="106" t="s">
        <v>862</v>
      </c>
      <c r="D256" s="106" t="s">
        <v>861</v>
      </c>
      <c r="E256" s="107" t="str">
        <f t="shared" si="7"/>
        <v>WOODBURN, IN, 46797</v>
      </c>
      <c r="F256" s="106" t="s">
        <v>861</v>
      </c>
      <c r="G256" s="106" t="s">
        <v>863</v>
      </c>
      <c r="H256" s="106" t="s">
        <v>2804</v>
      </c>
      <c r="I256" s="106" t="s">
        <v>2764</v>
      </c>
      <c r="J256" s="106" t="s">
        <v>864</v>
      </c>
      <c r="K256" s="106" t="s">
        <v>723</v>
      </c>
      <c r="L256" s="106" t="s">
        <v>865</v>
      </c>
      <c r="N256" s="91">
        <f t="shared" si="8"/>
        <v>1</v>
      </c>
      <c r="O256" s="79" t="s">
        <v>2215</v>
      </c>
      <c r="P256" s="79" t="s">
        <v>2215</v>
      </c>
      <c r="Q256" s="79" t="s">
        <v>2214</v>
      </c>
      <c r="R256" s="79" t="s">
        <v>2782</v>
      </c>
      <c r="S256" s="79" t="s">
        <v>2764</v>
      </c>
      <c r="T256" s="79" t="s">
        <v>1908</v>
      </c>
      <c r="U256" s="79" t="s">
        <v>1909</v>
      </c>
      <c r="V256" s="79" t="s">
        <v>1489</v>
      </c>
      <c r="W256" s="79" t="s">
        <v>1910</v>
      </c>
      <c r="Y256" s="79" t="s">
        <v>2214</v>
      </c>
    </row>
    <row r="257" spans="2:25" ht="12.75" customHeight="1" x14ac:dyDescent="0.2">
      <c r="B257" s="106" t="s">
        <v>2203</v>
      </c>
      <c r="C257" s="106" t="s">
        <v>2203</v>
      </c>
      <c r="D257" s="106" t="s">
        <v>2202</v>
      </c>
      <c r="E257" s="107" t="str">
        <f t="shared" si="7"/>
        <v>GALLIPOLIS FERRY, WV, 25515</v>
      </c>
      <c r="F257" s="106" t="s">
        <v>2202</v>
      </c>
      <c r="G257" s="106" t="s">
        <v>2204</v>
      </c>
      <c r="H257" s="106" t="s">
        <v>2782</v>
      </c>
      <c r="I257" s="106" t="s">
        <v>2764</v>
      </c>
      <c r="J257" s="106" t="s">
        <v>2205</v>
      </c>
      <c r="K257" s="106" t="s">
        <v>1489</v>
      </c>
      <c r="L257" s="106" t="s">
        <v>2206</v>
      </c>
      <c r="N257" s="91">
        <f t="shared" si="8"/>
        <v>1</v>
      </c>
      <c r="O257" s="79" t="s">
        <v>2337</v>
      </c>
      <c r="P257" s="79" t="s">
        <v>2337</v>
      </c>
      <c r="Q257" s="79" t="s">
        <v>2336</v>
      </c>
      <c r="R257" s="79" t="s">
        <v>2782</v>
      </c>
      <c r="S257" s="79" t="s">
        <v>2764</v>
      </c>
      <c r="T257" s="79" t="s">
        <v>1913</v>
      </c>
      <c r="U257" s="79" t="s">
        <v>1914</v>
      </c>
      <c r="V257" s="79" t="s">
        <v>1489</v>
      </c>
      <c r="W257" s="79" t="s">
        <v>1915</v>
      </c>
      <c r="Y257" s="79" t="s">
        <v>2336</v>
      </c>
    </row>
    <row r="258" spans="2:25" ht="12.75" customHeight="1" x14ac:dyDescent="0.2">
      <c r="B258" s="106" t="s">
        <v>1957</v>
      </c>
      <c r="C258" s="106" t="s">
        <v>1957</v>
      </c>
      <c r="D258" s="106" t="s">
        <v>1956</v>
      </c>
      <c r="E258" s="107" t="str">
        <f t="shared" ref="E258:E321" si="9">CONCATENATE(J258,", ",K258,", ",L258)</f>
        <v>NORTH BEND, OH, 45052</v>
      </c>
      <c r="F258" s="106" t="s">
        <v>1956</v>
      </c>
      <c r="G258" s="106" t="s">
        <v>1958</v>
      </c>
      <c r="H258" s="106" t="s">
        <v>2770</v>
      </c>
      <c r="I258" s="106" t="s">
        <v>2824</v>
      </c>
      <c r="J258" s="106" t="s">
        <v>1959</v>
      </c>
      <c r="K258" s="106" t="s">
        <v>707</v>
      </c>
      <c r="L258" s="106" t="s">
        <v>1960</v>
      </c>
      <c r="N258" s="91">
        <f t="shared" si="8"/>
        <v>1</v>
      </c>
      <c r="O258" s="79" t="s">
        <v>2335</v>
      </c>
      <c r="P258" s="79" t="s">
        <v>2335</v>
      </c>
      <c r="Q258" s="79" t="s">
        <v>2334</v>
      </c>
      <c r="R258" s="79" t="s">
        <v>2782</v>
      </c>
      <c r="S258" s="79" t="s">
        <v>2764</v>
      </c>
      <c r="T258" s="79" t="s">
        <v>1908</v>
      </c>
      <c r="U258" s="79" t="s">
        <v>1909</v>
      </c>
      <c r="V258" s="79" t="s">
        <v>1489</v>
      </c>
      <c r="W258" s="79" t="s">
        <v>1910</v>
      </c>
      <c r="Y258" s="79" t="s">
        <v>2334</v>
      </c>
    </row>
    <row r="259" spans="2:25" ht="12.75" customHeight="1" x14ac:dyDescent="0.2">
      <c r="B259" s="106" t="s">
        <v>2208</v>
      </c>
      <c r="C259" s="106" t="s">
        <v>2208</v>
      </c>
      <c r="D259" s="106" t="s">
        <v>2207</v>
      </c>
      <c r="E259" s="107" t="str">
        <f t="shared" si="9"/>
        <v>RACINE, OH, 45771</v>
      </c>
      <c r="F259" s="106" t="s">
        <v>2207</v>
      </c>
      <c r="G259" s="106" t="s">
        <v>2209</v>
      </c>
      <c r="H259" s="106" t="s">
        <v>2782</v>
      </c>
      <c r="I259" s="106" t="s">
        <v>2825</v>
      </c>
      <c r="J259" s="106" t="s">
        <v>2210</v>
      </c>
      <c r="K259" s="106" t="s">
        <v>707</v>
      </c>
      <c r="L259" s="106" t="s">
        <v>2211</v>
      </c>
      <c r="N259" s="91">
        <f t="shared" si="8"/>
        <v>1</v>
      </c>
      <c r="O259" s="79" t="s">
        <v>2328</v>
      </c>
      <c r="P259" s="79" t="s">
        <v>2328</v>
      </c>
      <c r="Q259" s="79" t="s">
        <v>2327</v>
      </c>
      <c r="R259" s="79" t="s">
        <v>2782</v>
      </c>
      <c r="S259" s="79" t="s">
        <v>2764</v>
      </c>
      <c r="T259" s="79" t="s">
        <v>2329</v>
      </c>
      <c r="U259" s="79" t="s">
        <v>2330</v>
      </c>
      <c r="V259" s="79" t="s">
        <v>1489</v>
      </c>
      <c r="W259" s="79" t="s">
        <v>2331</v>
      </c>
      <c r="Y259" s="79" t="s">
        <v>2327</v>
      </c>
    </row>
    <row r="260" spans="2:25" ht="12.75" customHeight="1" x14ac:dyDescent="0.2">
      <c r="B260" s="106" t="s">
        <v>2217</v>
      </c>
      <c r="C260" s="106" t="s">
        <v>2217</v>
      </c>
      <c r="D260" s="106" t="s">
        <v>2216</v>
      </c>
      <c r="E260" s="107" t="str">
        <f t="shared" si="9"/>
        <v>NEW MARTINSVILLE, WV, 26155</v>
      </c>
      <c r="F260" s="106" t="s">
        <v>2216</v>
      </c>
      <c r="G260" s="106" t="s">
        <v>1913</v>
      </c>
      <c r="H260" s="106" t="s">
        <v>2782</v>
      </c>
      <c r="I260" s="106" t="s">
        <v>2764</v>
      </c>
      <c r="J260" s="106" t="s">
        <v>1914</v>
      </c>
      <c r="K260" s="106" t="s">
        <v>1489</v>
      </c>
      <c r="L260" s="106" t="s">
        <v>1915</v>
      </c>
      <c r="N260" s="91">
        <f t="shared" si="8"/>
        <v>1</v>
      </c>
      <c r="O260" s="79" t="s">
        <v>2333</v>
      </c>
      <c r="P260" s="79" t="s">
        <v>2333</v>
      </c>
      <c r="Q260" s="79" t="s">
        <v>2332</v>
      </c>
      <c r="R260" s="79" t="s">
        <v>2782</v>
      </c>
      <c r="S260" s="79" t="s">
        <v>2764</v>
      </c>
      <c r="T260" s="79" t="s">
        <v>1900</v>
      </c>
      <c r="U260" s="79" t="s">
        <v>1901</v>
      </c>
      <c r="V260" s="79" t="s">
        <v>1489</v>
      </c>
      <c r="W260" s="79" t="s">
        <v>1902</v>
      </c>
      <c r="Y260" s="79" t="s">
        <v>2332</v>
      </c>
    </row>
    <row r="261" spans="2:25" ht="12.75" customHeight="1" x14ac:dyDescent="0.2">
      <c r="B261" s="106" t="s">
        <v>2213</v>
      </c>
      <c r="C261" s="106" t="s">
        <v>2213</v>
      </c>
      <c r="D261" s="106" t="s">
        <v>2212</v>
      </c>
      <c r="E261" s="107" t="str">
        <f t="shared" si="9"/>
        <v>PARKERSBURG, WV, 26101</v>
      </c>
      <c r="F261" s="106" t="s">
        <v>2212</v>
      </c>
      <c r="G261" s="106" t="s">
        <v>1900</v>
      </c>
      <c r="H261" s="106" t="s">
        <v>2782</v>
      </c>
      <c r="I261" s="106" t="s">
        <v>2764</v>
      </c>
      <c r="J261" s="106" t="s">
        <v>1901</v>
      </c>
      <c r="K261" s="106" t="s">
        <v>1489</v>
      </c>
      <c r="L261" s="106" t="s">
        <v>1902</v>
      </c>
      <c r="N261" s="91">
        <f t="shared" si="8"/>
        <v>1</v>
      </c>
      <c r="O261" s="79" t="s">
        <v>1892</v>
      </c>
      <c r="P261" s="79" t="s">
        <v>1892</v>
      </c>
      <c r="Q261" s="79" t="s">
        <v>1891</v>
      </c>
      <c r="R261" s="79" t="s">
        <v>2770</v>
      </c>
      <c r="S261" s="79" t="s">
        <v>2826</v>
      </c>
      <c r="T261" s="79" t="s">
        <v>1893</v>
      </c>
      <c r="U261" s="79" t="s">
        <v>1894</v>
      </c>
      <c r="V261" s="79" t="s">
        <v>707</v>
      </c>
      <c r="W261" s="79" t="s">
        <v>1895</v>
      </c>
      <c r="Y261" s="79" t="s">
        <v>1891</v>
      </c>
    </row>
    <row r="262" spans="2:25" ht="12.75" customHeight="1" x14ac:dyDescent="0.2">
      <c r="B262" s="106" t="s">
        <v>2215</v>
      </c>
      <c r="C262" s="106" t="s">
        <v>2215</v>
      </c>
      <c r="D262" s="106" t="s">
        <v>2214</v>
      </c>
      <c r="E262" s="107" t="str">
        <f t="shared" si="9"/>
        <v>RAVENSWOOD, WV, 26164</v>
      </c>
      <c r="F262" s="106" t="s">
        <v>2214</v>
      </c>
      <c r="G262" s="106" t="s">
        <v>1908</v>
      </c>
      <c r="H262" s="106" t="s">
        <v>2782</v>
      </c>
      <c r="I262" s="106" t="s">
        <v>2764</v>
      </c>
      <c r="J262" s="106" t="s">
        <v>1909</v>
      </c>
      <c r="K262" s="106" t="s">
        <v>1489</v>
      </c>
      <c r="L262" s="106" t="s">
        <v>1910</v>
      </c>
      <c r="N262" s="91">
        <f t="shared" si="8"/>
        <v>1</v>
      </c>
      <c r="O262" s="79" t="s">
        <v>2054</v>
      </c>
      <c r="P262" s="79" t="s">
        <v>2054</v>
      </c>
      <c r="Q262" s="79" t="s">
        <v>2053</v>
      </c>
      <c r="R262" s="79" t="s">
        <v>2770</v>
      </c>
      <c r="S262" s="79" t="s">
        <v>2826</v>
      </c>
      <c r="T262" s="79" t="s">
        <v>2055</v>
      </c>
      <c r="U262" s="79" t="s">
        <v>2056</v>
      </c>
      <c r="V262" s="79" t="s">
        <v>707</v>
      </c>
      <c r="W262" s="79" t="s">
        <v>2057</v>
      </c>
      <c r="Y262" s="79" t="s">
        <v>2053</v>
      </c>
    </row>
    <row r="263" spans="2:25" ht="12.75" customHeight="1" x14ac:dyDescent="0.2">
      <c r="B263" s="106" t="s">
        <v>2337</v>
      </c>
      <c r="C263" s="106" t="s">
        <v>2337</v>
      </c>
      <c r="D263" s="106" t="s">
        <v>2336</v>
      </c>
      <c r="E263" s="107" t="str">
        <f t="shared" si="9"/>
        <v>NEW MARTINSVILLE, WV, 26155</v>
      </c>
      <c r="F263" s="106" t="s">
        <v>2336</v>
      </c>
      <c r="G263" s="106" t="s">
        <v>1913</v>
      </c>
      <c r="H263" s="106" t="s">
        <v>2782</v>
      </c>
      <c r="I263" s="106" t="s">
        <v>2764</v>
      </c>
      <c r="J263" s="106" t="s">
        <v>1914</v>
      </c>
      <c r="K263" s="106" t="s">
        <v>1489</v>
      </c>
      <c r="L263" s="106" t="s">
        <v>1915</v>
      </c>
      <c r="N263" s="91">
        <f t="shared" si="8"/>
        <v>1</v>
      </c>
      <c r="O263" s="79" t="s">
        <v>1688</v>
      </c>
      <c r="P263" s="79" t="s">
        <v>1688</v>
      </c>
      <c r="Q263" s="79" t="s">
        <v>1687</v>
      </c>
      <c r="R263" s="79" t="s">
        <v>2775</v>
      </c>
      <c r="S263" s="79" t="s">
        <v>2778</v>
      </c>
      <c r="T263" s="79" t="s">
        <v>1689</v>
      </c>
      <c r="U263" s="79" t="s">
        <v>1690</v>
      </c>
      <c r="V263" s="79" t="s">
        <v>707</v>
      </c>
      <c r="W263" s="79" t="s">
        <v>1691</v>
      </c>
      <c r="Y263" s="79" t="s">
        <v>1687</v>
      </c>
    </row>
    <row r="264" spans="2:25" ht="12.75" customHeight="1" x14ac:dyDescent="0.2">
      <c r="B264" s="106" t="s">
        <v>2335</v>
      </c>
      <c r="C264" s="106" t="s">
        <v>2335</v>
      </c>
      <c r="D264" s="106" t="s">
        <v>2334</v>
      </c>
      <c r="E264" s="107" t="str">
        <f t="shared" si="9"/>
        <v>RAVENSWOOD, WV, 26164</v>
      </c>
      <c r="F264" s="106" t="s">
        <v>2334</v>
      </c>
      <c r="G264" s="106" t="s">
        <v>1908</v>
      </c>
      <c r="H264" s="106" t="s">
        <v>2782</v>
      </c>
      <c r="I264" s="106" t="s">
        <v>2764</v>
      </c>
      <c r="J264" s="106" t="s">
        <v>1909</v>
      </c>
      <c r="K264" s="106" t="s">
        <v>1489</v>
      </c>
      <c r="L264" s="106" t="s">
        <v>1910</v>
      </c>
      <c r="N264" s="91">
        <f t="shared" si="8"/>
        <v>1</v>
      </c>
      <c r="O264" s="79" t="s">
        <v>1795</v>
      </c>
      <c r="P264" s="79" t="s">
        <v>1795</v>
      </c>
      <c r="Q264" s="79" t="s">
        <v>1794</v>
      </c>
      <c r="R264" s="79" t="s">
        <v>2770</v>
      </c>
      <c r="S264" s="79" t="s">
        <v>2827</v>
      </c>
      <c r="T264" s="79" t="s">
        <v>1796</v>
      </c>
      <c r="U264" s="79" t="s">
        <v>1797</v>
      </c>
      <c r="V264" s="79" t="s">
        <v>707</v>
      </c>
      <c r="W264" s="79" t="s">
        <v>1798</v>
      </c>
      <c r="Y264" s="79" t="s">
        <v>1794</v>
      </c>
    </row>
    <row r="265" spans="2:25" ht="12.75" customHeight="1" x14ac:dyDescent="0.2">
      <c r="B265" s="106" t="s">
        <v>2328</v>
      </c>
      <c r="C265" s="106" t="s">
        <v>2328</v>
      </c>
      <c r="D265" s="106" t="s">
        <v>2327</v>
      </c>
      <c r="E265" s="107" t="str">
        <f t="shared" si="9"/>
        <v>PETROLEUM, WV, 26161</v>
      </c>
      <c r="F265" s="106" t="s">
        <v>2327</v>
      </c>
      <c r="G265" s="106" t="s">
        <v>3126</v>
      </c>
      <c r="H265" s="106" t="s">
        <v>2782</v>
      </c>
      <c r="I265" s="106" t="s">
        <v>2764</v>
      </c>
      <c r="J265" s="106" t="s">
        <v>2330</v>
      </c>
      <c r="K265" s="106" t="s">
        <v>1489</v>
      </c>
      <c r="L265" s="106" t="s">
        <v>2331</v>
      </c>
      <c r="N265" s="91">
        <f t="shared" si="8"/>
        <v>2</v>
      </c>
      <c r="O265" s="79" t="s">
        <v>1795</v>
      </c>
      <c r="P265" s="79" t="s">
        <v>1795</v>
      </c>
      <c r="Q265" s="79" t="s">
        <v>2711</v>
      </c>
      <c r="R265" s="79" t="s">
        <v>2770</v>
      </c>
      <c r="S265" s="79" t="s">
        <v>2827</v>
      </c>
      <c r="T265" s="79" t="s">
        <v>1796</v>
      </c>
      <c r="U265" s="79" t="s">
        <v>1797</v>
      </c>
      <c r="V265" s="79" t="s">
        <v>707</v>
      </c>
      <c r="W265" s="79" t="s">
        <v>1798</v>
      </c>
      <c r="Y265" s="79" t="s">
        <v>2711</v>
      </c>
    </row>
    <row r="266" spans="2:25" ht="12.75" customHeight="1" x14ac:dyDescent="0.2">
      <c r="B266" s="106" t="s">
        <v>2333</v>
      </c>
      <c r="C266" s="106" t="s">
        <v>2333</v>
      </c>
      <c r="D266" s="106" t="s">
        <v>2332</v>
      </c>
      <c r="E266" s="107" t="str">
        <f t="shared" si="9"/>
        <v>PARKERSBURG, WV, 26101</v>
      </c>
      <c r="F266" s="106" t="s">
        <v>2332</v>
      </c>
      <c r="G266" s="106" t="s">
        <v>1900</v>
      </c>
      <c r="H266" s="106" t="s">
        <v>2782</v>
      </c>
      <c r="I266" s="106" t="s">
        <v>2764</v>
      </c>
      <c r="J266" s="106" t="s">
        <v>1901</v>
      </c>
      <c r="K266" s="106" t="s">
        <v>1489</v>
      </c>
      <c r="L266" s="106" t="s">
        <v>1902</v>
      </c>
      <c r="N266" s="91">
        <f t="shared" si="8"/>
        <v>1</v>
      </c>
      <c r="O266" s="79" t="s">
        <v>1800</v>
      </c>
      <c r="P266" s="79" t="s">
        <v>1800</v>
      </c>
      <c r="Q266" s="79" t="s">
        <v>1799</v>
      </c>
      <c r="R266" s="79" t="s">
        <v>2770</v>
      </c>
      <c r="S266" s="79" t="s">
        <v>2828</v>
      </c>
      <c r="T266" s="79" t="s">
        <v>1801</v>
      </c>
      <c r="U266" s="79" t="s">
        <v>1802</v>
      </c>
      <c r="V266" s="79" t="s">
        <v>707</v>
      </c>
      <c r="W266" s="79" t="s">
        <v>1803</v>
      </c>
      <c r="Y266" s="79" t="s">
        <v>1799</v>
      </c>
    </row>
    <row r="267" spans="2:25" ht="12.75" customHeight="1" x14ac:dyDescent="0.2">
      <c r="B267" s="106" t="s">
        <v>1892</v>
      </c>
      <c r="C267" s="106" t="s">
        <v>1892</v>
      </c>
      <c r="D267" s="106" t="s">
        <v>1891</v>
      </c>
      <c r="E267" s="107" t="str">
        <f t="shared" si="9"/>
        <v>CEDARVILLE, OH, 45314</v>
      </c>
      <c r="F267" s="106" t="s">
        <v>1891</v>
      </c>
      <c r="G267" s="106" t="s">
        <v>1893</v>
      </c>
      <c r="H267" s="106" t="s">
        <v>2770</v>
      </c>
      <c r="I267" s="106" t="s">
        <v>2826</v>
      </c>
      <c r="J267" s="106" t="s">
        <v>1894</v>
      </c>
      <c r="K267" s="106" t="s">
        <v>707</v>
      </c>
      <c r="L267" s="106" t="s">
        <v>1895</v>
      </c>
      <c r="N267" s="91">
        <f t="shared" si="8"/>
        <v>1</v>
      </c>
      <c r="O267" s="79" t="s">
        <v>1810</v>
      </c>
      <c r="P267" s="79" t="s">
        <v>1810</v>
      </c>
      <c r="Q267" s="79" t="s">
        <v>1809</v>
      </c>
      <c r="R267" s="79" t="s">
        <v>2770</v>
      </c>
      <c r="S267" s="79" t="s">
        <v>2827</v>
      </c>
      <c r="T267" s="79" t="s">
        <v>1811</v>
      </c>
      <c r="U267" s="79" t="s">
        <v>1812</v>
      </c>
      <c r="V267" s="79" t="s">
        <v>707</v>
      </c>
      <c r="W267" s="79" t="s">
        <v>1813</v>
      </c>
      <c r="Y267" s="79" t="s">
        <v>1809</v>
      </c>
    </row>
    <row r="268" spans="2:25" ht="12.75" customHeight="1" x14ac:dyDescent="0.2">
      <c r="B268" s="106" t="s">
        <v>2054</v>
      </c>
      <c r="C268" s="106" t="s">
        <v>2054</v>
      </c>
      <c r="D268" s="106" t="s">
        <v>2053</v>
      </c>
      <c r="E268" s="107" t="str">
        <f t="shared" si="9"/>
        <v>SPRING VALLEY, OH, 45370</v>
      </c>
      <c r="F268" s="106" t="s">
        <v>2053</v>
      </c>
      <c r="G268" s="106" t="s">
        <v>2055</v>
      </c>
      <c r="H268" s="106" t="s">
        <v>2770</v>
      </c>
      <c r="I268" s="106" t="s">
        <v>2826</v>
      </c>
      <c r="J268" s="106" t="s">
        <v>2056</v>
      </c>
      <c r="K268" s="106" t="s">
        <v>707</v>
      </c>
      <c r="L268" s="106" t="s">
        <v>2057</v>
      </c>
      <c r="N268" s="91">
        <f t="shared" si="8"/>
        <v>1</v>
      </c>
      <c r="O268" s="79" t="s">
        <v>2041</v>
      </c>
      <c r="P268" s="79" t="s">
        <v>2041</v>
      </c>
      <c r="Q268" s="79" t="s">
        <v>2040</v>
      </c>
      <c r="R268" s="79" t="s">
        <v>2770</v>
      </c>
      <c r="S268" s="79" t="s">
        <v>1920</v>
      </c>
      <c r="T268" s="79" t="s">
        <v>2042</v>
      </c>
      <c r="U268" s="79" t="s">
        <v>1303</v>
      </c>
      <c r="V268" s="79" t="s">
        <v>1920</v>
      </c>
      <c r="W268" s="79" t="s">
        <v>1952</v>
      </c>
      <c r="Y268" s="79" t="s">
        <v>2040</v>
      </c>
    </row>
    <row r="269" spans="2:25" ht="12.75" customHeight="1" x14ac:dyDescent="0.2">
      <c r="B269" s="106" t="s">
        <v>1688</v>
      </c>
      <c r="C269" s="106" t="s">
        <v>1688</v>
      </c>
      <c r="D269" s="106" t="s">
        <v>1687</v>
      </c>
      <c r="E269" s="107" t="str">
        <f t="shared" si="9"/>
        <v>MEDWAY, OH, 45341</v>
      </c>
      <c r="F269" s="106" t="s">
        <v>1687</v>
      </c>
      <c r="G269" s="106" t="s">
        <v>1689</v>
      </c>
      <c r="H269" s="106" t="s">
        <v>2775</v>
      </c>
      <c r="I269" s="106" t="s">
        <v>2778</v>
      </c>
      <c r="J269" s="106" t="s">
        <v>1690</v>
      </c>
      <c r="K269" s="106" t="s">
        <v>707</v>
      </c>
      <c r="L269" s="106" t="s">
        <v>1691</v>
      </c>
      <c r="N269" s="91">
        <f t="shared" si="8"/>
        <v>1</v>
      </c>
      <c r="O269" s="79" t="s">
        <v>1693</v>
      </c>
      <c r="P269" s="79" t="s">
        <v>1693</v>
      </c>
      <c r="Q269" s="79" t="s">
        <v>1692</v>
      </c>
      <c r="R269" s="79" t="s">
        <v>2775</v>
      </c>
      <c r="S269" s="79" t="s">
        <v>2777</v>
      </c>
      <c r="T269" s="79" t="s">
        <v>1694</v>
      </c>
      <c r="U269" s="79" t="s">
        <v>1695</v>
      </c>
      <c r="V269" s="79" t="s">
        <v>707</v>
      </c>
      <c r="W269" s="79" t="s">
        <v>1696</v>
      </c>
      <c r="Y269" s="79" t="s">
        <v>1692</v>
      </c>
    </row>
    <row r="270" spans="2:25" ht="12.75" customHeight="1" x14ac:dyDescent="0.2">
      <c r="B270" s="106" t="s">
        <v>1795</v>
      </c>
      <c r="C270" s="106" t="s">
        <v>1795</v>
      </c>
      <c r="D270" s="106" t="s">
        <v>1794</v>
      </c>
      <c r="E270" s="107" t="str">
        <f t="shared" si="9"/>
        <v>FAIRFIELD, OH, 45014</v>
      </c>
      <c r="F270" s="106" t="s">
        <v>1794</v>
      </c>
      <c r="G270" s="106" t="s">
        <v>1796</v>
      </c>
      <c r="H270" s="106" t="s">
        <v>2770</v>
      </c>
      <c r="I270" s="106" t="s">
        <v>2827</v>
      </c>
      <c r="J270" s="106" t="s">
        <v>1797</v>
      </c>
      <c r="K270" s="106" t="s">
        <v>707</v>
      </c>
      <c r="L270" s="106" t="s">
        <v>1798</v>
      </c>
      <c r="N270" s="91">
        <f t="shared" si="8"/>
        <v>1</v>
      </c>
      <c r="O270" s="79" t="s">
        <v>1825</v>
      </c>
      <c r="P270" s="79" t="s">
        <v>1825</v>
      </c>
      <c r="Q270" s="79" t="s">
        <v>1824</v>
      </c>
      <c r="R270" s="79" t="s">
        <v>2770</v>
      </c>
      <c r="S270" s="79" t="s">
        <v>2827</v>
      </c>
      <c r="T270" s="79" t="s">
        <v>1826</v>
      </c>
      <c r="U270" s="79" t="s">
        <v>1827</v>
      </c>
      <c r="V270" s="79" t="s">
        <v>707</v>
      </c>
      <c r="W270" s="79" t="s">
        <v>1798</v>
      </c>
      <c r="Y270" s="79" t="s">
        <v>1824</v>
      </c>
    </row>
    <row r="271" spans="2:25" ht="12.75" customHeight="1" x14ac:dyDescent="0.2">
      <c r="B271" s="143" t="s">
        <v>1795</v>
      </c>
      <c r="C271" s="143" t="s">
        <v>1795</v>
      </c>
      <c r="D271" s="143" t="s">
        <v>2711</v>
      </c>
      <c r="E271" s="107" t="str">
        <f t="shared" si="9"/>
        <v>FAIRFIELD, OH, 45014</v>
      </c>
      <c r="F271" s="143" t="s">
        <v>2711</v>
      </c>
      <c r="G271" s="143" t="s">
        <v>1796</v>
      </c>
      <c r="H271" s="143" t="s">
        <v>2770</v>
      </c>
      <c r="I271" s="143" t="s">
        <v>2827</v>
      </c>
      <c r="J271" s="143" t="s">
        <v>1797</v>
      </c>
      <c r="K271" s="143" t="s">
        <v>707</v>
      </c>
      <c r="L271" s="143" t="s">
        <v>1798</v>
      </c>
      <c r="N271" s="91">
        <f t="shared" si="8"/>
        <v>1</v>
      </c>
      <c r="O271" s="79" t="s">
        <v>1865</v>
      </c>
      <c r="P271" s="79" t="s">
        <v>1865</v>
      </c>
      <c r="Q271" s="79" t="s">
        <v>1864</v>
      </c>
      <c r="R271" s="79" t="s">
        <v>2770</v>
      </c>
      <c r="S271" s="79" t="s">
        <v>2827</v>
      </c>
      <c r="T271" s="79" t="s">
        <v>1866</v>
      </c>
      <c r="U271" s="79" t="s">
        <v>1867</v>
      </c>
      <c r="V271" s="79" t="s">
        <v>707</v>
      </c>
      <c r="W271" s="79" t="s">
        <v>1868</v>
      </c>
      <c r="Y271" s="79" t="s">
        <v>1864</v>
      </c>
    </row>
    <row r="272" spans="2:25" ht="12.75" customHeight="1" x14ac:dyDescent="0.2">
      <c r="B272" s="106" t="s">
        <v>1800</v>
      </c>
      <c r="C272" s="106" t="s">
        <v>1800</v>
      </c>
      <c r="D272" s="106" t="s">
        <v>1799</v>
      </c>
      <c r="E272" s="107" t="str">
        <f t="shared" si="9"/>
        <v>FRANKLIN, OH, 45005</v>
      </c>
      <c r="F272" s="106" t="s">
        <v>1799</v>
      </c>
      <c r="G272" s="106" t="s">
        <v>1801</v>
      </c>
      <c r="H272" s="106" t="s">
        <v>2770</v>
      </c>
      <c r="I272" s="106" t="s">
        <v>2828</v>
      </c>
      <c r="J272" s="106" t="s">
        <v>1802</v>
      </c>
      <c r="K272" s="106" t="s">
        <v>707</v>
      </c>
      <c r="L272" s="106" t="s">
        <v>1803</v>
      </c>
      <c r="N272" s="91">
        <f t="shared" si="8"/>
        <v>1</v>
      </c>
      <c r="O272" s="79" t="s">
        <v>1698</v>
      </c>
      <c r="P272" s="79" t="s">
        <v>1698</v>
      </c>
      <c r="Q272" s="79" t="s">
        <v>1697</v>
      </c>
      <c r="R272" s="79" t="s">
        <v>2775</v>
      </c>
      <c r="S272" s="79" t="s">
        <v>2779</v>
      </c>
      <c r="T272" s="79" t="s">
        <v>1699</v>
      </c>
      <c r="U272" s="79" t="s">
        <v>1700</v>
      </c>
      <c r="V272" s="79" t="s">
        <v>707</v>
      </c>
      <c r="W272" s="79" t="s">
        <v>1701</v>
      </c>
      <c r="Y272" s="79" t="s">
        <v>1697</v>
      </c>
    </row>
    <row r="273" spans="2:25" ht="12.75" customHeight="1" x14ac:dyDescent="0.2">
      <c r="B273" s="106" t="s">
        <v>1810</v>
      </c>
      <c r="C273" s="106" t="s">
        <v>1810</v>
      </c>
      <c r="D273" s="106" t="s">
        <v>1809</v>
      </c>
      <c r="E273" s="107" t="str">
        <f t="shared" si="9"/>
        <v>HAMILTON, OH, 45011</v>
      </c>
      <c r="F273" s="106" t="s">
        <v>1809</v>
      </c>
      <c r="G273" s="106" t="s">
        <v>1811</v>
      </c>
      <c r="H273" s="106" t="s">
        <v>2770</v>
      </c>
      <c r="I273" s="106" t="s">
        <v>2827</v>
      </c>
      <c r="J273" s="106" t="s">
        <v>1812</v>
      </c>
      <c r="K273" s="106" t="s">
        <v>707</v>
      </c>
      <c r="L273" s="106" t="s">
        <v>1813</v>
      </c>
      <c r="N273" s="91">
        <f t="shared" si="8"/>
        <v>1</v>
      </c>
      <c r="O273" s="79" t="s">
        <v>991</v>
      </c>
      <c r="P273" s="79" t="s">
        <v>991</v>
      </c>
      <c r="Q273" s="79" t="s">
        <v>990</v>
      </c>
      <c r="R273" s="79" t="s">
        <v>2772</v>
      </c>
      <c r="S273" s="79" t="s">
        <v>2773</v>
      </c>
      <c r="T273" s="79" t="s">
        <v>992</v>
      </c>
      <c r="U273" s="79" t="s">
        <v>993</v>
      </c>
      <c r="V273" s="79" t="s">
        <v>707</v>
      </c>
      <c r="W273" s="79" t="s">
        <v>994</v>
      </c>
      <c r="Y273" s="79" t="s">
        <v>990</v>
      </c>
    </row>
    <row r="274" spans="2:25" ht="12.75" customHeight="1" x14ac:dyDescent="0.2">
      <c r="B274" s="106" t="s">
        <v>2041</v>
      </c>
      <c r="C274" s="106" t="s">
        <v>2041</v>
      </c>
      <c r="D274" s="106" t="s">
        <v>2040</v>
      </c>
      <c r="E274" s="107" t="str">
        <f t="shared" si="9"/>
        <v>PETERSBURG, KY, 41080</v>
      </c>
      <c r="F274" s="106" t="s">
        <v>2040</v>
      </c>
      <c r="G274" s="106" t="s">
        <v>2042</v>
      </c>
      <c r="H274" s="106" t="s">
        <v>2770</v>
      </c>
      <c r="I274" s="106" t="s">
        <v>1920</v>
      </c>
      <c r="J274" s="106" t="s">
        <v>1303</v>
      </c>
      <c r="K274" s="106" t="s">
        <v>1920</v>
      </c>
      <c r="L274" s="106" t="s">
        <v>1952</v>
      </c>
      <c r="N274" s="91">
        <f t="shared" si="8"/>
        <v>1</v>
      </c>
      <c r="O274" s="79" t="s">
        <v>1003</v>
      </c>
      <c r="P274" s="79" t="s">
        <v>1003</v>
      </c>
      <c r="Q274" s="79" t="s">
        <v>1002</v>
      </c>
      <c r="R274" s="79" t="s">
        <v>2762</v>
      </c>
      <c r="S274" s="79" t="s">
        <v>2774</v>
      </c>
      <c r="T274" s="79" t="s">
        <v>821</v>
      </c>
      <c r="U274" s="79" t="s">
        <v>822</v>
      </c>
      <c r="V274" s="79" t="s">
        <v>707</v>
      </c>
      <c r="W274" s="79" t="s">
        <v>823</v>
      </c>
      <c r="Y274" s="79" t="s">
        <v>1002</v>
      </c>
    </row>
    <row r="275" spans="2:25" ht="12.75" customHeight="1" x14ac:dyDescent="0.2">
      <c r="B275" s="106" t="s">
        <v>1693</v>
      </c>
      <c r="C275" s="106" t="s">
        <v>1693</v>
      </c>
      <c r="D275" s="106" t="s">
        <v>1692</v>
      </c>
      <c r="E275" s="107" t="str">
        <f t="shared" si="9"/>
        <v>BROOKVILLE, OH, 45309</v>
      </c>
      <c r="F275" s="106" t="s">
        <v>1692</v>
      </c>
      <c r="G275" s="106" t="s">
        <v>1694</v>
      </c>
      <c r="H275" s="106" t="s">
        <v>2775</v>
      </c>
      <c r="I275" s="106" t="s">
        <v>2777</v>
      </c>
      <c r="J275" s="106" t="s">
        <v>1695</v>
      </c>
      <c r="K275" s="106" t="s">
        <v>707</v>
      </c>
      <c r="L275" s="106" t="s">
        <v>1696</v>
      </c>
      <c r="N275" s="91">
        <f t="shared" si="8"/>
        <v>1</v>
      </c>
      <c r="O275" s="79" t="s">
        <v>996</v>
      </c>
      <c r="P275" s="79" t="s">
        <v>996</v>
      </c>
      <c r="Q275" s="79" t="s">
        <v>995</v>
      </c>
      <c r="R275" s="79" t="s">
        <v>2762</v>
      </c>
      <c r="S275" s="79" t="s">
        <v>2763</v>
      </c>
      <c r="T275" s="79" t="s">
        <v>997</v>
      </c>
      <c r="U275" s="79" t="s">
        <v>998</v>
      </c>
      <c r="V275" s="79" t="s">
        <v>707</v>
      </c>
      <c r="W275" s="79" t="s">
        <v>999</v>
      </c>
      <c r="Y275" s="79" t="s">
        <v>995</v>
      </c>
    </row>
    <row r="276" spans="2:25" ht="12.75" customHeight="1" x14ac:dyDescent="0.2">
      <c r="B276" s="106" t="s">
        <v>1825</v>
      </c>
      <c r="C276" s="106" t="s">
        <v>1825</v>
      </c>
      <c r="D276" s="106" t="s">
        <v>1824</v>
      </c>
      <c r="E276" s="107" t="str">
        <f t="shared" si="9"/>
        <v>ROSS, OH, 45014</v>
      </c>
      <c r="F276" s="106" t="s">
        <v>1824</v>
      </c>
      <c r="G276" s="106" t="s">
        <v>1826</v>
      </c>
      <c r="H276" s="106" t="s">
        <v>2770</v>
      </c>
      <c r="I276" s="106" t="s">
        <v>2827</v>
      </c>
      <c r="J276" s="106" t="s">
        <v>1827</v>
      </c>
      <c r="K276" s="106" t="s">
        <v>707</v>
      </c>
      <c r="L276" s="106" t="s">
        <v>1798</v>
      </c>
      <c r="N276" s="91">
        <f t="shared" si="8"/>
        <v>1</v>
      </c>
      <c r="O276" s="79" t="s">
        <v>1005</v>
      </c>
      <c r="P276" s="79" t="s">
        <v>1005</v>
      </c>
      <c r="Q276" s="79" t="s">
        <v>1004</v>
      </c>
      <c r="R276" s="79" t="s">
        <v>2759</v>
      </c>
      <c r="S276" s="79" t="s">
        <v>2760</v>
      </c>
      <c r="T276" s="79" t="s">
        <v>842</v>
      </c>
      <c r="U276" s="79" t="s">
        <v>843</v>
      </c>
      <c r="V276" s="79" t="s">
        <v>707</v>
      </c>
      <c r="W276" s="79" t="s">
        <v>844</v>
      </c>
      <c r="Y276" s="79" t="s">
        <v>1004</v>
      </c>
    </row>
    <row r="277" spans="2:25" ht="12.75" customHeight="1" x14ac:dyDescent="0.2">
      <c r="B277" s="106" t="s">
        <v>1865</v>
      </c>
      <c r="C277" s="106" t="s">
        <v>1865</v>
      </c>
      <c r="D277" s="106" t="s">
        <v>1864</v>
      </c>
      <c r="E277" s="107" t="str">
        <f t="shared" si="9"/>
        <v>TRENTON, OH, 45067</v>
      </c>
      <c r="F277" s="106" t="s">
        <v>1864</v>
      </c>
      <c r="G277" s="106" t="s">
        <v>1866</v>
      </c>
      <c r="H277" s="106" t="s">
        <v>2770</v>
      </c>
      <c r="I277" s="106" t="s">
        <v>2827</v>
      </c>
      <c r="J277" s="106" t="s">
        <v>1867</v>
      </c>
      <c r="K277" s="106" t="s">
        <v>707</v>
      </c>
      <c r="L277" s="106" t="s">
        <v>1868</v>
      </c>
      <c r="N277" s="91">
        <f t="shared" ref="N277:N340" si="10">IF(O277=O276,1+N276,1)</f>
        <v>1</v>
      </c>
      <c r="O277" s="79" t="s">
        <v>1001</v>
      </c>
      <c r="P277" s="79" t="s">
        <v>1001</v>
      </c>
      <c r="Q277" s="79" t="s">
        <v>1000</v>
      </c>
      <c r="R277" s="79" t="s">
        <v>2762</v>
      </c>
      <c r="S277" s="79" t="s">
        <v>2766</v>
      </c>
      <c r="T277" s="79" t="s">
        <v>816</v>
      </c>
      <c r="U277" s="79" t="s">
        <v>817</v>
      </c>
      <c r="V277" s="79" t="s">
        <v>707</v>
      </c>
      <c r="W277" s="79" t="s">
        <v>818</v>
      </c>
      <c r="Y277" s="79" t="s">
        <v>1000</v>
      </c>
    </row>
    <row r="278" spans="2:25" ht="12.75" customHeight="1" x14ac:dyDescent="0.2">
      <c r="B278" s="106" t="s">
        <v>1698</v>
      </c>
      <c r="C278" s="106" t="s">
        <v>1698</v>
      </c>
      <c r="D278" s="106" t="s">
        <v>1697</v>
      </c>
      <c r="E278" s="107" t="str">
        <f t="shared" si="9"/>
        <v>TROY, OH, 45373</v>
      </c>
      <c r="F278" s="106" t="s">
        <v>1697</v>
      </c>
      <c r="G278" s="106" t="s">
        <v>1699</v>
      </c>
      <c r="H278" s="106" t="s">
        <v>2775</v>
      </c>
      <c r="I278" s="106" t="s">
        <v>2779</v>
      </c>
      <c r="J278" s="106" t="s">
        <v>1700</v>
      </c>
      <c r="K278" s="106" t="s">
        <v>707</v>
      </c>
      <c r="L278" s="106" t="s">
        <v>1701</v>
      </c>
      <c r="N278" s="91">
        <f t="shared" si="10"/>
        <v>1</v>
      </c>
      <c r="O278" s="79" t="s">
        <v>1820</v>
      </c>
      <c r="P278" s="79" t="s">
        <v>1820</v>
      </c>
      <c r="Q278" s="79" t="s">
        <v>1819</v>
      </c>
      <c r="R278" s="79" t="s">
        <v>2770</v>
      </c>
      <c r="S278" s="79" t="s">
        <v>2826</v>
      </c>
      <c r="T278" s="79" t="s">
        <v>1821</v>
      </c>
      <c r="U278" s="79" t="s">
        <v>1822</v>
      </c>
      <c r="V278" s="79" t="s">
        <v>707</v>
      </c>
      <c r="W278" s="79" t="s">
        <v>1823</v>
      </c>
      <c r="Y278" s="79" t="s">
        <v>1819</v>
      </c>
    </row>
    <row r="279" spans="2:25" ht="12.75" customHeight="1" x14ac:dyDescent="0.2">
      <c r="B279" s="106" t="s">
        <v>1003</v>
      </c>
      <c r="C279" s="106" t="s">
        <v>1003</v>
      </c>
      <c r="D279" s="106" t="s">
        <v>1002</v>
      </c>
      <c r="E279" s="107" t="str">
        <f t="shared" si="9"/>
        <v>KENT, OH, 44240</v>
      </c>
      <c r="F279" s="106" t="s">
        <v>1002</v>
      </c>
      <c r="G279" s="106" t="s">
        <v>821</v>
      </c>
      <c r="H279" s="106" t="s">
        <v>2762</v>
      </c>
      <c r="I279" s="106" t="s">
        <v>2774</v>
      </c>
      <c r="J279" s="106" t="s">
        <v>822</v>
      </c>
      <c r="K279" s="106" t="s">
        <v>707</v>
      </c>
      <c r="L279" s="106" t="s">
        <v>823</v>
      </c>
      <c r="N279" s="91">
        <f t="shared" si="10"/>
        <v>1</v>
      </c>
      <c r="O279" s="79" t="s">
        <v>1237</v>
      </c>
      <c r="P279" s="79" t="s">
        <v>1237</v>
      </c>
      <c r="Q279" s="79" t="s">
        <v>1236</v>
      </c>
      <c r="R279" s="79" t="s">
        <v>2767</v>
      </c>
      <c r="S279" s="79" t="s">
        <v>2829</v>
      </c>
      <c r="T279" s="79" t="s">
        <v>1238</v>
      </c>
      <c r="U279" s="79" t="s">
        <v>1239</v>
      </c>
      <c r="V279" s="79" t="s">
        <v>707</v>
      </c>
      <c r="W279" s="79" t="s">
        <v>1240</v>
      </c>
      <c r="Y279" s="79" t="s">
        <v>1236</v>
      </c>
    </row>
    <row r="280" spans="2:25" ht="12.75" customHeight="1" x14ac:dyDescent="0.2">
      <c r="B280" s="106" t="s">
        <v>996</v>
      </c>
      <c r="C280" s="106" t="s">
        <v>996</v>
      </c>
      <c r="D280" s="106" t="s">
        <v>995</v>
      </c>
      <c r="E280" s="107" t="str">
        <f t="shared" si="9"/>
        <v>TWINSBURG, OH, 44087</v>
      </c>
      <c r="F280" s="106" t="s">
        <v>995</v>
      </c>
      <c r="G280" s="106" t="s">
        <v>997</v>
      </c>
      <c r="H280" s="106" t="s">
        <v>2762</v>
      </c>
      <c r="I280" s="106" t="s">
        <v>2763</v>
      </c>
      <c r="J280" s="106" t="s">
        <v>998</v>
      </c>
      <c r="K280" s="106" t="s">
        <v>707</v>
      </c>
      <c r="L280" s="106" t="s">
        <v>999</v>
      </c>
      <c r="N280" s="91">
        <f t="shared" si="10"/>
        <v>2</v>
      </c>
      <c r="O280" s="79" t="s">
        <v>1237</v>
      </c>
      <c r="P280" s="79" t="s">
        <v>1237</v>
      </c>
      <c r="Q280" s="79" t="s">
        <v>2662</v>
      </c>
      <c r="R280" s="79" t="s">
        <v>2767</v>
      </c>
      <c r="S280" s="79" t="s">
        <v>2829</v>
      </c>
      <c r="T280" s="79" t="s">
        <v>1238</v>
      </c>
      <c r="U280" s="79" t="s">
        <v>1239</v>
      </c>
      <c r="V280" s="79" t="s">
        <v>707</v>
      </c>
      <c r="W280" s="79" t="s">
        <v>1240</v>
      </c>
      <c r="Y280" s="79" t="s">
        <v>2662</v>
      </c>
    </row>
    <row r="281" spans="2:25" ht="12.75" customHeight="1" x14ac:dyDescent="0.2">
      <c r="B281" s="106" t="s">
        <v>1005</v>
      </c>
      <c r="C281" s="106" t="s">
        <v>1005</v>
      </c>
      <c r="D281" s="106" t="s">
        <v>1004</v>
      </c>
      <c r="E281" s="107" t="str">
        <f t="shared" si="9"/>
        <v>CLEVELAND, OH, 44135</v>
      </c>
      <c r="F281" s="106" t="s">
        <v>1004</v>
      </c>
      <c r="G281" s="106" t="s">
        <v>842</v>
      </c>
      <c r="H281" s="106" t="s">
        <v>2759</v>
      </c>
      <c r="I281" s="106" t="s">
        <v>2760</v>
      </c>
      <c r="J281" s="106" t="s">
        <v>843</v>
      </c>
      <c r="K281" s="106" t="s">
        <v>707</v>
      </c>
      <c r="L281" s="106" t="s">
        <v>844</v>
      </c>
      <c r="N281" s="91">
        <f t="shared" si="10"/>
        <v>1</v>
      </c>
      <c r="O281" s="79" t="s">
        <v>1550</v>
      </c>
      <c r="P281" s="79" t="s">
        <v>1550</v>
      </c>
      <c r="Q281" s="79" t="s">
        <v>1549</v>
      </c>
      <c r="R281" s="79" t="s">
        <v>2786</v>
      </c>
      <c r="S281" s="79" t="s">
        <v>2830</v>
      </c>
      <c r="T281" s="79" t="s">
        <v>1551</v>
      </c>
      <c r="U281" s="79" t="s">
        <v>1552</v>
      </c>
      <c r="V281" s="79" t="s">
        <v>707</v>
      </c>
      <c r="W281" s="79" t="s">
        <v>1553</v>
      </c>
      <c r="Y281" s="79" t="s">
        <v>1549</v>
      </c>
    </row>
    <row r="282" spans="2:25" ht="12.75" customHeight="1" x14ac:dyDescent="0.2">
      <c r="B282" s="106" t="s">
        <v>1001</v>
      </c>
      <c r="C282" s="106" t="s">
        <v>1001</v>
      </c>
      <c r="D282" s="106" t="s">
        <v>1000</v>
      </c>
      <c r="E282" s="107" t="str">
        <f t="shared" si="9"/>
        <v>ALLIANCE, OH, 44601</v>
      </c>
      <c r="F282" s="106" t="s">
        <v>1000</v>
      </c>
      <c r="G282" s="106" t="s">
        <v>816</v>
      </c>
      <c r="H282" s="106" t="s">
        <v>2762</v>
      </c>
      <c r="I282" s="106" t="s">
        <v>2766</v>
      </c>
      <c r="J282" s="106" t="s">
        <v>817</v>
      </c>
      <c r="K282" s="106" t="s">
        <v>707</v>
      </c>
      <c r="L282" s="106" t="s">
        <v>818</v>
      </c>
      <c r="N282" s="91">
        <f t="shared" si="10"/>
        <v>1</v>
      </c>
      <c r="O282" s="79" t="s">
        <v>2198</v>
      </c>
      <c r="P282" s="79" t="s">
        <v>2198</v>
      </c>
      <c r="Q282" s="79" t="s">
        <v>2197</v>
      </c>
      <c r="R282" s="79" t="s">
        <v>2782</v>
      </c>
      <c r="S282" s="79" t="s">
        <v>2810</v>
      </c>
      <c r="T282" s="79" t="s">
        <v>2199</v>
      </c>
      <c r="U282" s="79" t="s">
        <v>2200</v>
      </c>
      <c r="V282" s="79" t="s">
        <v>707</v>
      </c>
      <c r="W282" s="79" t="s">
        <v>2201</v>
      </c>
      <c r="Y282" s="79" t="s">
        <v>2197</v>
      </c>
    </row>
    <row r="283" spans="2:25" ht="12.75" customHeight="1" x14ac:dyDescent="0.2">
      <c r="B283" s="106" t="s">
        <v>1820</v>
      </c>
      <c r="C283" s="106" t="s">
        <v>1820</v>
      </c>
      <c r="D283" s="106" t="s">
        <v>1819</v>
      </c>
      <c r="E283" s="107" t="str">
        <f t="shared" si="9"/>
        <v>XENIA, OH, 45385</v>
      </c>
      <c r="F283" s="106" t="s">
        <v>1819</v>
      </c>
      <c r="G283" s="106" t="s">
        <v>1821</v>
      </c>
      <c r="H283" s="106" t="s">
        <v>2770</v>
      </c>
      <c r="I283" s="106" t="s">
        <v>2826</v>
      </c>
      <c r="J283" s="106" t="s">
        <v>1822</v>
      </c>
      <c r="K283" s="106" t="s">
        <v>707</v>
      </c>
      <c r="L283" s="106" t="s">
        <v>1823</v>
      </c>
      <c r="N283" s="91">
        <f t="shared" si="10"/>
        <v>2</v>
      </c>
      <c r="O283" s="79" t="s">
        <v>2198</v>
      </c>
      <c r="P283" s="79" t="s">
        <v>2198</v>
      </c>
      <c r="Q283" s="79" t="s">
        <v>2725</v>
      </c>
      <c r="R283" s="79" t="s">
        <v>2782</v>
      </c>
      <c r="S283" s="79" t="s">
        <v>2810</v>
      </c>
      <c r="T283" s="79" t="s">
        <v>2199</v>
      </c>
      <c r="U283" s="79" t="s">
        <v>2200</v>
      </c>
      <c r="V283" s="79" t="s">
        <v>707</v>
      </c>
      <c r="W283" s="79" t="s">
        <v>2201</v>
      </c>
      <c r="Y283" s="79" t="s">
        <v>2725</v>
      </c>
    </row>
    <row r="284" spans="2:25" ht="12.75" customHeight="1" x14ac:dyDescent="0.2">
      <c r="B284" s="106" t="s">
        <v>1237</v>
      </c>
      <c r="C284" s="106" t="s">
        <v>1237</v>
      </c>
      <c r="D284" s="106" t="s">
        <v>1236</v>
      </c>
      <c r="E284" s="107" t="str">
        <f t="shared" si="9"/>
        <v>PERRYSVILLE, OH, 44864</v>
      </c>
      <c r="F284" s="106" t="s">
        <v>1236</v>
      </c>
      <c r="G284" s="106" t="s">
        <v>1238</v>
      </c>
      <c r="H284" s="106" t="s">
        <v>2767</v>
      </c>
      <c r="I284" s="106" t="s">
        <v>2829</v>
      </c>
      <c r="J284" s="106" t="s">
        <v>1239</v>
      </c>
      <c r="K284" s="106" t="s">
        <v>707</v>
      </c>
      <c r="L284" s="106" t="s">
        <v>1240</v>
      </c>
      <c r="N284" s="91">
        <f t="shared" si="10"/>
        <v>1</v>
      </c>
      <c r="O284" s="79" t="s">
        <v>2739</v>
      </c>
      <c r="P284" s="79" t="s">
        <v>2739</v>
      </c>
      <c r="Q284" s="79" t="s">
        <v>2738</v>
      </c>
      <c r="R284" s="79" t="s">
        <v>2782</v>
      </c>
      <c r="S284" s="79" t="s">
        <v>2810</v>
      </c>
      <c r="T284" s="79" t="s">
        <v>2740</v>
      </c>
      <c r="U284" s="79" t="s">
        <v>1849</v>
      </c>
      <c r="V284" s="79" t="s">
        <v>707</v>
      </c>
      <c r="W284" s="79" t="s">
        <v>1850</v>
      </c>
      <c r="Y284" s="79" t="s">
        <v>2738</v>
      </c>
    </row>
    <row r="285" spans="2:25" ht="12.75" customHeight="1" x14ac:dyDescent="0.2">
      <c r="B285" s="143" t="s">
        <v>1237</v>
      </c>
      <c r="C285" s="143" t="s">
        <v>1237</v>
      </c>
      <c r="D285" s="143" t="s">
        <v>2662</v>
      </c>
      <c r="E285" s="107" t="str">
        <f t="shared" si="9"/>
        <v>PERRYSVILLE, OH, 44864</v>
      </c>
      <c r="F285" s="143" t="s">
        <v>2662</v>
      </c>
      <c r="G285" s="143" t="s">
        <v>1238</v>
      </c>
      <c r="H285" s="143" t="s">
        <v>2767</v>
      </c>
      <c r="I285" s="143" t="s">
        <v>2829</v>
      </c>
      <c r="J285" s="143" t="s">
        <v>1239</v>
      </c>
      <c r="K285" s="143" t="s">
        <v>707</v>
      </c>
      <c r="L285" s="143" t="s">
        <v>1240</v>
      </c>
      <c r="N285" s="91">
        <f t="shared" si="10"/>
        <v>2</v>
      </c>
      <c r="O285" s="79" t="s">
        <v>2739</v>
      </c>
      <c r="P285" s="79" t="s">
        <v>2739</v>
      </c>
      <c r="Q285" s="79" t="s">
        <v>2743</v>
      </c>
      <c r="R285" s="79" t="s">
        <v>2782</v>
      </c>
      <c r="S285" s="79" t="s">
        <v>2810</v>
      </c>
      <c r="T285" s="79" t="s">
        <v>2744</v>
      </c>
      <c r="U285" s="79" t="s">
        <v>1849</v>
      </c>
      <c r="V285" s="79" t="s">
        <v>707</v>
      </c>
      <c r="W285" s="79" t="s">
        <v>1850</v>
      </c>
      <c r="Y285" s="79" t="s">
        <v>2743</v>
      </c>
    </row>
    <row r="286" spans="2:25" ht="12.75" customHeight="1" x14ac:dyDescent="0.2">
      <c r="B286" s="106" t="s">
        <v>1550</v>
      </c>
      <c r="C286" s="106" t="s">
        <v>1550</v>
      </c>
      <c r="D286" s="106" t="s">
        <v>1549</v>
      </c>
      <c r="E286" s="107" t="str">
        <f t="shared" si="9"/>
        <v>ZANESVILLE, OH, 43701</v>
      </c>
      <c r="F286" s="106" t="s">
        <v>1549</v>
      </c>
      <c r="G286" s="106" t="s">
        <v>1551</v>
      </c>
      <c r="H286" s="106" t="s">
        <v>2786</v>
      </c>
      <c r="I286" s="106" t="s">
        <v>2830</v>
      </c>
      <c r="J286" s="106" t="s">
        <v>1552</v>
      </c>
      <c r="K286" s="106" t="s">
        <v>707</v>
      </c>
      <c r="L286" s="106" t="s">
        <v>1553</v>
      </c>
      <c r="N286" s="91">
        <f t="shared" si="10"/>
        <v>1</v>
      </c>
      <c r="O286" s="79" t="s">
        <v>2742</v>
      </c>
      <c r="P286" s="79" t="s">
        <v>2742</v>
      </c>
      <c r="Q286" s="79" t="s">
        <v>2741</v>
      </c>
      <c r="R286" s="79" t="s">
        <v>2786</v>
      </c>
      <c r="S286" s="79" t="s">
        <v>2831</v>
      </c>
      <c r="T286" s="79" t="s">
        <v>2097</v>
      </c>
      <c r="U286" s="79" t="s">
        <v>1547</v>
      </c>
      <c r="V286" s="79" t="s">
        <v>707</v>
      </c>
      <c r="W286" s="79" t="s">
        <v>1548</v>
      </c>
      <c r="Y286" s="79" t="s">
        <v>2741</v>
      </c>
    </row>
    <row r="287" spans="2:25" ht="12.75" customHeight="1" x14ac:dyDescent="0.2">
      <c r="B287" s="106" t="s">
        <v>2198</v>
      </c>
      <c r="C287" s="106" t="s">
        <v>2198</v>
      </c>
      <c r="D287" s="106" t="s">
        <v>2197</v>
      </c>
      <c r="E287" s="107" t="str">
        <f t="shared" si="9"/>
        <v>HAYDENVILLE, OH, 43127</v>
      </c>
      <c r="F287" s="106" t="s">
        <v>2197</v>
      </c>
      <c r="G287" s="106" t="s">
        <v>2199</v>
      </c>
      <c r="H287" s="106" t="s">
        <v>2782</v>
      </c>
      <c r="I287" s="106" t="s">
        <v>2810</v>
      </c>
      <c r="J287" s="106" t="s">
        <v>2200</v>
      </c>
      <c r="K287" s="106" t="s">
        <v>707</v>
      </c>
      <c r="L287" s="106" t="s">
        <v>2201</v>
      </c>
      <c r="N287" s="91">
        <f t="shared" si="10"/>
        <v>1</v>
      </c>
      <c r="O287" s="79" t="s">
        <v>1426</v>
      </c>
      <c r="P287" s="79" t="s">
        <v>1426</v>
      </c>
      <c r="Q287" s="79" t="s">
        <v>1425</v>
      </c>
      <c r="R287" s="79" t="s">
        <v>2762</v>
      </c>
      <c r="S287" s="79" t="s">
        <v>2774</v>
      </c>
      <c r="T287" s="79" t="s">
        <v>1427</v>
      </c>
      <c r="U287" s="79" t="s">
        <v>1268</v>
      </c>
      <c r="V287" s="79" t="s">
        <v>707</v>
      </c>
      <c r="W287" s="79" t="s">
        <v>1269</v>
      </c>
      <c r="Y287" s="79" t="s">
        <v>1425</v>
      </c>
    </row>
    <row r="288" spans="2:25" ht="12.75" customHeight="1" x14ac:dyDescent="0.2">
      <c r="B288" s="143" t="s">
        <v>2198</v>
      </c>
      <c r="C288" s="143" t="s">
        <v>2198</v>
      </c>
      <c r="D288" s="143" t="s">
        <v>2725</v>
      </c>
      <c r="E288" s="107" t="str">
        <f t="shared" si="9"/>
        <v>HAYDENVILLE, OH, 43127</v>
      </c>
      <c r="F288" s="143" t="s">
        <v>2725</v>
      </c>
      <c r="G288" s="143" t="s">
        <v>2199</v>
      </c>
      <c r="H288" s="143" t="s">
        <v>2782</v>
      </c>
      <c r="I288" s="143" t="s">
        <v>2810</v>
      </c>
      <c r="J288" s="143" t="s">
        <v>2200</v>
      </c>
      <c r="K288" s="143" t="s">
        <v>707</v>
      </c>
      <c r="L288" s="143" t="s">
        <v>2201</v>
      </c>
      <c r="N288" s="91">
        <f t="shared" si="10"/>
        <v>2</v>
      </c>
      <c r="O288" s="79" t="s">
        <v>1426</v>
      </c>
      <c r="P288" s="79" t="s">
        <v>1426</v>
      </c>
      <c r="Q288" s="79" t="s">
        <v>2669</v>
      </c>
      <c r="R288" s="79" t="s">
        <v>2762</v>
      </c>
      <c r="S288" s="79" t="s">
        <v>2774</v>
      </c>
      <c r="T288" s="79" t="s">
        <v>1427</v>
      </c>
      <c r="U288" s="79" t="s">
        <v>1268</v>
      </c>
      <c r="V288" s="79" t="s">
        <v>707</v>
      </c>
      <c r="W288" s="79" t="s">
        <v>1269</v>
      </c>
      <c r="Y288" s="79" t="s">
        <v>2669</v>
      </c>
    </row>
    <row r="289" spans="2:25" ht="12.75" customHeight="1" x14ac:dyDescent="0.2">
      <c r="B289" s="143" t="s">
        <v>2739</v>
      </c>
      <c r="C289" s="143" t="s">
        <v>2739</v>
      </c>
      <c r="D289" s="143" t="s">
        <v>2738</v>
      </c>
      <c r="E289" s="107" t="str">
        <f t="shared" si="9"/>
        <v>LOGAN, OH, 43138</v>
      </c>
      <c r="F289" s="143" t="s">
        <v>2738</v>
      </c>
      <c r="G289" s="143" t="s">
        <v>2740</v>
      </c>
      <c r="H289" s="143" t="s">
        <v>2782</v>
      </c>
      <c r="I289" s="143" t="s">
        <v>2810</v>
      </c>
      <c r="J289" s="143" t="s">
        <v>1849</v>
      </c>
      <c r="K289" s="143" t="s">
        <v>707</v>
      </c>
      <c r="L289" s="143" t="s">
        <v>1850</v>
      </c>
      <c r="N289" s="91">
        <f t="shared" si="10"/>
        <v>1</v>
      </c>
      <c r="O289" s="79" t="s">
        <v>2104</v>
      </c>
      <c r="P289" s="79" t="s">
        <v>2104</v>
      </c>
      <c r="Q289" s="79" t="s">
        <v>2103</v>
      </c>
      <c r="R289" s="79" t="s">
        <v>2780</v>
      </c>
      <c r="S289" s="79" t="s">
        <v>2820</v>
      </c>
      <c r="T289" s="79" t="s">
        <v>2105</v>
      </c>
      <c r="U289" s="79" t="s">
        <v>2093</v>
      </c>
      <c r="V289" s="79" t="s">
        <v>707</v>
      </c>
      <c r="W289" s="79" t="s">
        <v>2094</v>
      </c>
      <c r="Y289" s="79" t="s">
        <v>2103</v>
      </c>
    </row>
    <row r="290" spans="2:25" ht="12.75" customHeight="1" x14ac:dyDescent="0.2">
      <c r="B290" s="143" t="s">
        <v>2739</v>
      </c>
      <c r="C290" s="143" t="s">
        <v>2739</v>
      </c>
      <c r="D290" s="143" t="s">
        <v>2743</v>
      </c>
      <c r="E290" s="107" t="str">
        <f t="shared" si="9"/>
        <v>LOGAN, OH, 43138</v>
      </c>
      <c r="F290" s="143" t="s">
        <v>2743</v>
      </c>
      <c r="G290" s="143" t="s">
        <v>2744</v>
      </c>
      <c r="H290" s="143" t="s">
        <v>2782</v>
      </c>
      <c r="I290" s="143" t="s">
        <v>2810</v>
      </c>
      <c r="J290" s="143" t="s">
        <v>1849</v>
      </c>
      <c r="K290" s="143" t="s">
        <v>707</v>
      </c>
      <c r="L290" s="143" t="s">
        <v>1850</v>
      </c>
      <c r="N290" s="91">
        <f t="shared" si="10"/>
        <v>2</v>
      </c>
      <c r="O290" s="79" t="s">
        <v>2104</v>
      </c>
      <c r="P290" s="79" t="s">
        <v>2104</v>
      </c>
      <c r="Q290" s="79" t="s">
        <v>2723</v>
      </c>
      <c r="R290" s="79" t="s">
        <v>2780</v>
      </c>
      <c r="S290" s="79" t="s">
        <v>2820</v>
      </c>
      <c r="T290" s="79" t="s">
        <v>2105</v>
      </c>
      <c r="U290" s="79" t="s">
        <v>2093</v>
      </c>
      <c r="V290" s="79" t="s">
        <v>707</v>
      </c>
      <c r="W290" s="79" t="s">
        <v>2094</v>
      </c>
      <c r="Y290" s="79" t="s">
        <v>2723</v>
      </c>
    </row>
    <row r="291" spans="2:25" ht="12.75" customHeight="1" x14ac:dyDescent="0.2">
      <c r="B291" s="143" t="s">
        <v>2742</v>
      </c>
      <c r="C291" s="143" t="s">
        <v>2742</v>
      </c>
      <c r="D291" s="143" t="s">
        <v>2741</v>
      </c>
      <c r="E291" s="107" t="str">
        <f t="shared" si="9"/>
        <v>LANCASTER, OH, 43130</v>
      </c>
      <c r="F291" s="143" t="s">
        <v>2741</v>
      </c>
      <c r="G291" s="143" t="s">
        <v>2097</v>
      </c>
      <c r="H291" s="143" t="s">
        <v>2786</v>
      </c>
      <c r="I291" s="143" t="s">
        <v>2831</v>
      </c>
      <c r="J291" s="143" t="s">
        <v>1547</v>
      </c>
      <c r="K291" s="143" t="s">
        <v>707</v>
      </c>
      <c r="L291" s="143" t="s">
        <v>1548</v>
      </c>
      <c r="N291" s="91">
        <f t="shared" si="10"/>
        <v>1</v>
      </c>
      <c r="O291" s="79" t="s">
        <v>1555</v>
      </c>
      <c r="P291" s="79" t="s">
        <v>1555</v>
      </c>
      <c r="Q291" s="79" t="s">
        <v>1554</v>
      </c>
      <c r="R291" s="79" t="s">
        <v>2786</v>
      </c>
      <c r="S291" s="79" t="s">
        <v>2795</v>
      </c>
      <c r="T291" s="79" t="s">
        <v>847</v>
      </c>
      <c r="U291" s="79" t="s">
        <v>848</v>
      </c>
      <c r="V291" s="79" t="s">
        <v>707</v>
      </c>
      <c r="W291" s="79" t="s">
        <v>849</v>
      </c>
      <c r="Y291" s="79" t="s">
        <v>1554</v>
      </c>
    </row>
    <row r="292" spans="2:25" ht="12.75" customHeight="1" x14ac:dyDescent="0.2">
      <c r="B292" s="106" t="s">
        <v>1426</v>
      </c>
      <c r="C292" s="106" t="s">
        <v>1426</v>
      </c>
      <c r="D292" s="106" t="s">
        <v>1425</v>
      </c>
      <c r="E292" s="107" t="str">
        <f t="shared" si="9"/>
        <v>RAVENNA, OH, 44266</v>
      </c>
      <c r="F292" s="106" t="s">
        <v>1425</v>
      </c>
      <c r="G292" s="106" t="s">
        <v>1427</v>
      </c>
      <c r="H292" s="106" t="s">
        <v>2762</v>
      </c>
      <c r="I292" s="106" t="s">
        <v>2774</v>
      </c>
      <c r="J292" s="106" t="s">
        <v>1268</v>
      </c>
      <c r="K292" s="106" t="s">
        <v>707</v>
      </c>
      <c r="L292" s="106" t="s">
        <v>1269</v>
      </c>
      <c r="N292" s="91">
        <f t="shared" si="10"/>
        <v>1</v>
      </c>
      <c r="O292" s="79" t="s">
        <v>1353</v>
      </c>
      <c r="P292" s="79" t="s">
        <v>1353</v>
      </c>
      <c r="Q292" s="79" t="s">
        <v>1352</v>
      </c>
      <c r="R292" s="79" t="s">
        <v>2762</v>
      </c>
      <c r="S292" s="79" t="s">
        <v>2763</v>
      </c>
      <c r="T292" s="79" t="s">
        <v>1354</v>
      </c>
      <c r="U292" s="79" t="s">
        <v>733</v>
      </c>
      <c r="V292" s="79" t="s">
        <v>707</v>
      </c>
      <c r="W292" s="79" t="s">
        <v>877</v>
      </c>
      <c r="Y292" s="79" t="s">
        <v>1352</v>
      </c>
    </row>
    <row r="293" spans="2:25" ht="12.75" customHeight="1" x14ac:dyDescent="0.2">
      <c r="B293" s="143" t="s">
        <v>1426</v>
      </c>
      <c r="C293" s="143" t="s">
        <v>1426</v>
      </c>
      <c r="D293" s="143" t="s">
        <v>2669</v>
      </c>
      <c r="E293" s="107" t="str">
        <f t="shared" si="9"/>
        <v>RAVENNA, OH, 44266</v>
      </c>
      <c r="F293" s="143" t="s">
        <v>2669</v>
      </c>
      <c r="G293" s="143" t="s">
        <v>1427</v>
      </c>
      <c r="H293" s="143" t="s">
        <v>2762</v>
      </c>
      <c r="I293" s="143" t="s">
        <v>2774</v>
      </c>
      <c r="J293" s="143" t="s">
        <v>1268</v>
      </c>
      <c r="K293" s="143" t="s">
        <v>707</v>
      </c>
      <c r="L293" s="143" t="s">
        <v>1269</v>
      </c>
      <c r="N293" s="91">
        <f t="shared" si="10"/>
        <v>1</v>
      </c>
      <c r="O293" s="79" t="s">
        <v>1388</v>
      </c>
      <c r="P293" s="79" t="s">
        <v>1388</v>
      </c>
      <c r="Q293" s="79" t="s">
        <v>1387</v>
      </c>
      <c r="R293" s="79" t="s">
        <v>2762</v>
      </c>
      <c r="S293" s="79" t="s">
        <v>2766</v>
      </c>
      <c r="T293" s="79" t="s">
        <v>1389</v>
      </c>
      <c r="U293" s="79" t="s">
        <v>885</v>
      </c>
      <c r="V293" s="79" t="s">
        <v>707</v>
      </c>
      <c r="W293" s="79" t="s">
        <v>886</v>
      </c>
      <c r="Y293" s="79" t="s">
        <v>1387</v>
      </c>
    </row>
    <row r="294" spans="2:25" ht="12.75" customHeight="1" x14ac:dyDescent="0.2">
      <c r="B294" s="106" t="s">
        <v>2104</v>
      </c>
      <c r="C294" s="106" t="s">
        <v>2104</v>
      </c>
      <c r="D294" s="106" t="s">
        <v>2103</v>
      </c>
      <c r="E294" s="107" t="str">
        <f t="shared" si="9"/>
        <v>CHILLICOTHE, OH, 45601</v>
      </c>
      <c r="F294" s="106" t="s">
        <v>2103</v>
      </c>
      <c r="G294" s="106" t="s">
        <v>2105</v>
      </c>
      <c r="H294" s="106" t="s">
        <v>2780</v>
      </c>
      <c r="I294" s="106" t="s">
        <v>2820</v>
      </c>
      <c r="J294" s="106" t="s">
        <v>2093</v>
      </c>
      <c r="K294" s="106" t="s">
        <v>707</v>
      </c>
      <c r="L294" s="106" t="s">
        <v>2094</v>
      </c>
      <c r="N294" s="91">
        <f t="shared" si="10"/>
        <v>2</v>
      </c>
      <c r="O294" s="79" t="s">
        <v>1388</v>
      </c>
      <c r="P294" s="79" t="s">
        <v>1388</v>
      </c>
      <c r="Q294" s="79" t="s">
        <v>2667</v>
      </c>
      <c r="R294" s="79" t="s">
        <v>2762</v>
      </c>
      <c r="S294" s="79" t="s">
        <v>2766</v>
      </c>
      <c r="T294" s="79" t="s">
        <v>2668</v>
      </c>
      <c r="U294" s="79" t="s">
        <v>885</v>
      </c>
      <c r="V294" s="79" t="s">
        <v>707</v>
      </c>
      <c r="W294" s="79" t="s">
        <v>886</v>
      </c>
      <c r="Y294" s="79" t="s">
        <v>2667</v>
      </c>
    </row>
    <row r="295" spans="2:25" ht="12.75" customHeight="1" x14ac:dyDescent="0.2">
      <c r="B295" s="143" t="s">
        <v>2104</v>
      </c>
      <c r="C295" s="143" t="s">
        <v>2104</v>
      </c>
      <c r="D295" s="143" t="s">
        <v>2723</v>
      </c>
      <c r="E295" s="107" t="str">
        <f t="shared" si="9"/>
        <v>CHILLICOTHE, OH, 45601</v>
      </c>
      <c r="F295" s="143" t="s">
        <v>2723</v>
      </c>
      <c r="G295" s="143" t="s">
        <v>2105</v>
      </c>
      <c r="H295" s="143" t="s">
        <v>2780</v>
      </c>
      <c r="I295" s="143" t="s">
        <v>2820</v>
      </c>
      <c r="J295" s="143" t="s">
        <v>2093</v>
      </c>
      <c r="K295" s="143" t="s">
        <v>707</v>
      </c>
      <c r="L295" s="143" t="s">
        <v>2094</v>
      </c>
      <c r="N295" s="91">
        <f t="shared" si="10"/>
        <v>1</v>
      </c>
      <c r="O295" s="79" t="s">
        <v>1445</v>
      </c>
      <c r="P295" s="79" t="s">
        <v>1445</v>
      </c>
      <c r="Q295" s="79" t="s">
        <v>1444</v>
      </c>
      <c r="R295" s="79" t="s">
        <v>2762</v>
      </c>
      <c r="S295" s="79" t="s">
        <v>2766</v>
      </c>
      <c r="T295" s="79" t="s">
        <v>1446</v>
      </c>
      <c r="U295" s="79" t="s">
        <v>885</v>
      </c>
      <c r="V295" s="79" t="s">
        <v>707</v>
      </c>
      <c r="W295" s="79" t="s">
        <v>1257</v>
      </c>
      <c r="Y295" s="79" t="s">
        <v>1444</v>
      </c>
    </row>
    <row r="296" spans="2:25" ht="12.75" customHeight="1" x14ac:dyDescent="0.2">
      <c r="B296" s="106" t="s">
        <v>1555</v>
      </c>
      <c r="C296" s="106" t="s">
        <v>1555</v>
      </c>
      <c r="D296" s="106" t="s">
        <v>1554</v>
      </c>
      <c r="E296" s="107" t="str">
        <f t="shared" si="9"/>
        <v>DERWENT, OH, 43733</v>
      </c>
      <c r="F296" s="106" t="s">
        <v>1554</v>
      </c>
      <c r="G296" s="106" t="s">
        <v>847</v>
      </c>
      <c r="H296" s="106" t="s">
        <v>2786</v>
      </c>
      <c r="I296" s="106" t="s">
        <v>2795</v>
      </c>
      <c r="J296" s="106" t="s">
        <v>848</v>
      </c>
      <c r="K296" s="106" t="s">
        <v>707</v>
      </c>
      <c r="L296" s="106" t="s">
        <v>849</v>
      </c>
      <c r="N296" s="91">
        <f t="shared" si="10"/>
        <v>1</v>
      </c>
      <c r="O296" s="79" t="s">
        <v>1589</v>
      </c>
      <c r="P296" s="79" t="s">
        <v>1589</v>
      </c>
      <c r="Q296" s="79" t="s">
        <v>1588</v>
      </c>
      <c r="R296" s="79" t="s">
        <v>2786</v>
      </c>
      <c r="S296" s="79" t="s">
        <v>2832</v>
      </c>
      <c r="T296" s="79" t="s">
        <v>1590</v>
      </c>
      <c r="U296" s="79" t="s">
        <v>1591</v>
      </c>
      <c r="V296" s="79" t="s">
        <v>707</v>
      </c>
      <c r="W296" s="79" t="s">
        <v>1592</v>
      </c>
      <c r="Y296" s="79" t="s">
        <v>1588</v>
      </c>
    </row>
    <row r="297" spans="2:25" ht="12.75" customHeight="1" x14ac:dyDescent="0.2">
      <c r="B297" s="143" t="s">
        <v>3175</v>
      </c>
      <c r="C297" s="143" t="s">
        <v>3175</v>
      </c>
      <c r="D297" s="143" t="s">
        <v>3176</v>
      </c>
      <c r="E297" s="107" t="str">
        <f t="shared" si="9"/>
        <v>ZANESVILLE, OH, 43701</v>
      </c>
      <c r="F297" s="143" t="s">
        <v>3176</v>
      </c>
      <c r="G297" s="143" t="s">
        <v>3177</v>
      </c>
      <c r="H297" s="143" t="s">
        <v>2786</v>
      </c>
      <c r="I297" s="143" t="s">
        <v>2830</v>
      </c>
      <c r="J297" s="143" t="s">
        <v>1552</v>
      </c>
      <c r="K297" s="143" t="s">
        <v>707</v>
      </c>
      <c r="L297" s="143" t="s">
        <v>1553</v>
      </c>
      <c r="N297" s="91">
        <f t="shared" si="10"/>
        <v>1</v>
      </c>
      <c r="O297" s="79" t="s">
        <v>1285</v>
      </c>
      <c r="P297" s="79" t="s">
        <v>1285</v>
      </c>
      <c r="Q297" s="79" t="s">
        <v>1284</v>
      </c>
      <c r="R297" s="79" t="s">
        <v>2762</v>
      </c>
      <c r="S297" s="79" t="s">
        <v>2764</v>
      </c>
      <c r="T297" s="79" t="s">
        <v>1286</v>
      </c>
      <c r="U297" s="79" t="s">
        <v>1287</v>
      </c>
      <c r="V297" s="79" t="s">
        <v>898</v>
      </c>
      <c r="W297" s="79" t="s">
        <v>1288</v>
      </c>
      <c r="Y297" s="79" t="s">
        <v>1284</v>
      </c>
    </row>
    <row r="298" spans="2:25" ht="12.75" customHeight="1" x14ac:dyDescent="0.2">
      <c r="B298" s="106" t="s">
        <v>1353</v>
      </c>
      <c r="C298" s="106" t="s">
        <v>1353</v>
      </c>
      <c r="D298" s="106" t="s">
        <v>1352</v>
      </c>
      <c r="E298" s="107" t="str">
        <f t="shared" si="9"/>
        <v>AKRON, OH, 44319</v>
      </c>
      <c r="F298" s="106" t="s">
        <v>1352</v>
      </c>
      <c r="G298" s="106" t="s">
        <v>1354</v>
      </c>
      <c r="H298" s="106" t="s">
        <v>2762</v>
      </c>
      <c r="I298" s="106" t="s">
        <v>2763</v>
      </c>
      <c r="J298" s="106" t="s">
        <v>733</v>
      </c>
      <c r="K298" s="106" t="s">
        <v>707</v>
      </c>
      <c r="L298" s="106" t="s">
        <v>877</v>
      </c>
      <c r="N298" s="91">
        <f t="shared" si="10"/>
        <v>1</v>
      </c>
      <c r="O298" s="79" t="s">
        <v>2285</v>
      </c>
      <c r="P298" s="79" t="s">
        <v>2285</v>
      </c>
      <c r="Q298" s="79" t="s">
        <v>2284</v>
      </c>
      <c r="R298" s="79" t="s">
        <v>2782</v>
      </c>
      <c r="S298" s="79" t="s">
        <v>2819</v>
      </c>
      <c r="T298" s="79" t="s">
        <v>2286</v>
      </c>
      <c r="U298" s="79" t="s">
        <v>2287</v>
      </c>
      <c r="V298" s="79" t="s">
        <v>707</v>
      </c>
      <c r="W298" s="79" t="s">
        <v>2288</v>
      </c>
      <c r="Y298" s="79" t="s">
        <v>2284</v>
      </c>
    </row>
    <row r="299" spans="2:25" ht="12.75" customHeight="1" x14ac:dyDescent="0.2">
      <c r="B299" s="106" t="s">
        <v>1388</v>
      </c>
      <c r="C299" s="106" t="s">
        <v>1388</v>
      </c>
      <c r="D299" s="106" t="s">
        <v>1387</v>
      </c>
      <c r="E299" s="107" t="str">
        <f t="shared" si="9"/>
        <v>MASSILLON, OH, 44646</v>
      </c>
      <c r="F299" s="106" t="s">
        <v>1387</v>
      </c>
      <c r="G299" s="106" t="s">
        <v>1389</v>
      </c>
      <c r="H299" s="106" t="s">
        <v>2762</v>
      </c>
      <c r="I299" s="106" t="s">
        <v>2766</v>
      </c>
      <c r="J299" s="106" t="s">
        <v>885</v>
      </c>
      <c r="K299" s="106" t="s">
        <v>707</v>
      </c>
      <c r="L299" s="106" t="s">
        <v>886</v>
      </c>
      <c r="N299" s="91">
        <f t="shared" si="10"/>
        <v>1</v>
      </c>
      <c r="O299" s="79" t="s">
        <v>1776</v>
      </c>
      <c r="P299" s="79" t="s">
        <v>1776</v>
      </c>
      <c r="Q299" s="79" t="s">
        <v>1775</v>
      </c>
      <c r="R299" s="79" t="s">
        <v>2775</v>
      </c>
      <c r="S299" s="79" t="s">
        <v>2833</v>
      </c>
      <c r="T299" s="79" t="s">
        <v>1777</v>
      </c>
      <c r="U299" s="79" t="s">
        <v>1778</v>
      </c>
      <c r="V299" s="79" t="s">
        <v>707</v>
      </c>
      <c r="W299" s="79" t="s">
        <v>1779</v>
      </c>
      <c r="Y299" s="79" t="s">
        <v>1775</v>
      </c>
    </row>
    <row r="300" spans="2:25" ht="12.75" customHeight="1" x14ac:dyDescent="0.2">
      <c r="B300" s="143" t="s">
        <v>1388</v>
      </c>
      <c r="C300" s="143" t="s">
        <v>1388</v>
      </c>
      <c r="D300" s="143" t="s">
        <v>2667</v>
      </c>
      <c r="E300" s="107" t="str">
        <f t="shared" si="9"/>
        <v>MASSILLON, OH, 44646</v>
      </c>
      <c r="F300" s="143" t="s">
        <v>2667</v>
      </c>
      <c r="G300" s="143" t="s">
        <v>2668</v>
      </c>
      <c r="H300" s="143" t="s">
        <v>2762</v>
      </c>
      <c r="I300" s="143" t="s">
        <v>2766</v>
      </c>
      <c r="J300" s="143" t="s">
        <v>885</v>
      </c>
      <c r="K300" s="143" t="s">
        <v>707</v>
      </c>
      <c r="L300" s="143" t="s">
        <v>886</v>
      </c>
      <c r="N300" s="91">
        <f t="shared" si="10"/>
        <v>1</v>
      </c>
      <c r="O300" s="79" t="s">
        <v>2033</v>
      </c>
      <c r="P300" s="79" t="s">
        <v>2033</v>
      </c>
      <c r="Q300" s="79" t="s">
        <v>2032</v>
      </c>
      <c r="R300" s="79" t="s">
        <v>2770</v>
      </c>
      <c r="S300" s="79" t="s">
        <v>2826</v>
      </c>
      <c r="T300" s="79" t="s">
        <v>2034</v>
      </c>
      <c r="U300" s="79" t="s">
        <v>2035</v>
      </c>
      <c r="V300" s="79" t="s">
        <v>707</v>
      </c>
      <c r="W300" s="79" t="s">
        <v>2036</v>
      </c>
      <c r="Y300" s="79" t="s">
        <v>2032</v>
      </c>
    </row>
    <row r="301" spans="2:25" ht="12.75" customHeight="1" x14ac:dyDescent="0.2">
      <c r="B301" s="106" t="s">
        <v>1445</v>
      </c>
      <c r="C301" s="106" t="s">
        <v>1445</v>
      </c>
      <c r="D301" s="106" t="s">
        <v>1444</v>
      </c>
      <c r="E301" s="107" t="str">
        <f t="shared" si="9"/>
        <v>MASSILLON, OH, 44647</v>
      </c>
      <c r="F301" s="106" t="s">
        <v>1444</v>
      </c>
      <c r="G301" s="106" t="s">
        <v>1446</v>
      </c>
      <c r="H301" s="106" t="s">
        <v>2762</v>
      </c>
      <c r="I301" s="106" t="s">
        <v>2766</v>
      </c>
      <c r="J301" s="106" t="s">
        <v>885</v>
      </c>
      <c r="K301" s="106" t="s">
        <v>707</v>
      </c>
      <c r="L301" s="106" t="s">
        <v>1257</v>
      </c>
      <c r="N301" s="91">
        <f t="shared" si="10"/>
        <v>1</v>
      </c>
      <c r="O301" s="79" t="s">
        <v>1667</v>
      </c>
      <c r="P301" s="79" t="s">
        <v>1667</v>
      </c>
      <c r="Q301" s="79" t="s">
        <v>1666</v>
      </c>
      <c r="R301" s="79" t="s">
        <v>2834</v>
      </c>
      <c r="S301" s="79" t="s">
        <v>2835</v>
      </c>
      <c r="T301" s="79" t="s">
        <v>1668</v>
      </c>
      <c r="U301" s="79" t="s">
        <v>1669</v>
      </c>
      <c r="V301" s="79" t="s">
        <v>707</v>
      </c>
      <c r="W301" s="79" t="s">
        <v>1670</v>
      </c>
      <c r="Y301" s="79" t="s">
        <v>1666</v>
      </c>
    </row>
    <row r="302" spans="2:25" ht="12.75" customHeight="1" x14ac:dyDescent="0.2">
      <c r="B302" s="106" t="s">
        <v>1589</v>
      </c>
      <c r="C302" s="106" t="s">
        <v>1589</v>
      </c>
      <c r="D302" s="106" t="s">
        <v>1588</v>
      </c>
      <c r="E302" s="107" t="str">
        <f t="shared" si="9"/>
        <v>MOUNT PERRY, OH, 43760</v>
      </c>
      <c r="F302" s="106" t="s">
        <v>1588</v>
      </c>
      <c r="G302" s="106" t="s">
        <v>1590</v>
      </c>
      <c r="H302" s="106" t="s">
        <v>2786</v>
      </c>
      <c r="I302" s="106" t="s">
        <v>2832</v>
      </c>
      <c r="J302" s="106" t="s">
        <v>1591</v>
      </c>
      <c r="K302" s="106" t="s">
        <v>707</v>
      </c>
      <c r="L302" s="106" t="s">
        <v>1592</v>
      </c>
      <c r="N302" s="91">
        <f t="shared" si="10"/>
        <v>2</v>
      </c>
      <c r="O302" s="79" t="s">
        <v>1667</v>
      </c>
      <c r="P302" s="79" t="s">
        <v>1667</v>
      </c>
      <c r="Q302" s="79" t="s">
        <v>2693</v>
      </c>
      <c r="R302" s="79" t="s">
        <v>2834</v>
      </c>
      <c r="S302" s="79" t="s">
        <v>2835</v>
      </c>
      <c r="T302" s="79" t="s">
        <v>1668</v>
      </c>
      <c r="U302" s="79" t="s">
        <v>1669</v>
      </c>
      <c r="V302" s="79" t="s">
        <v>707</v>
      </c>
      <c r="W302" s="79" t="s">
        <v>1670</v>
      </c>
      <c r="Y302" s="79" t="s">
        <v>2693</v>
      </c>
    </row>
    <row r="303" spans="2:25" ht="12.75" customHeight="1" x14ac:dyDescent="0.2">
      <c r="B303" s="106" t="s">
        <v>1285</v>
      </c>
      <c r="C303" s="106" t="s">
        <v>1285</v>
      </c>
      <c r="D303" s="106" t="s">
        <v>1284</v>
      </c>
      <c r="E303" s="107" t="str">
        <f t="shared" si="9"/>
        <v>WEST SPRINGFIELD, PA, 16443</v>
      </c>
      <c r="F303" s="106" t="s">
        <v>1284</v>
      </c>
      <c r="G303" s="106" t="s">
        <v>1286</v>
      </c>
      <c r="H303" s="106" t="s">
        <v>2762</v>
      </c>
      <c r="I303" s="106" t="s">
        <v>2764</v>
      </c>
      <c r="J303" s="106" t="s">
        <v>1287</v>
      </c>
      <c r="K303" s="106" t="s">
        <v>898</v>
      </c>
      <c r="L303" s="106" t="s">
        <v>1288</v>
      </c>
      <c r="N303" s="91">
        <f t="shared" si="10"/>
        <v>1</v>
      </c>
      <c r="O303" s="79" t="s">
        <v>2081</v>
      </c>
      <c r="P303" s="79" t="s">
        <v>2081</v>
      </c>
      <c r="Q303" s="79" t="s">
        <v>2080</v>
      </c>
      <c r="R303" s="79" t="s">
        <v>2770</v>
      </c>
      <c r="S303" s="79" t="s">
        <v>2826</v>
      </c>
      <c r="T303" s="79" t="s">
        <v>2082</v>
      </c>
      <c r="U303" s="79" t="s">
        <v>1822</v>
      </c>
      <c r="V303" s="79" t="s">
        <v>707</v>
      </c>
      <c r="W303" s="79" t="s">
        <v>1823</v>
      </c>
      <c r="Y303" s="79" t="s">
        <v>2080</v>
      </c>
    </row>
    <row r="304" spans="2:25" ht="12.75" customHeight="1" x14ac:dyDescent="0.2">
      <c r="B304" s="106" t="s">
        <v>2285</v>
      </c>
      <c r="C304" s="106" t="s">
        <v>2285</v>
      </c>
      <c r="D304" s="106" t="s">
        <v>2284</v>
      </c>
      <c r="E304" s="107" t="str">
        <f t="shared" si="9"/>
        <v>NELSONVILLE, OH, 45764</v>
      </c>
      <c r="F304" s="106" t="s">
        <v>2284</v>
      </c>
      <c r="G304" s="106" t="s">
        <v>3125</v>
      </c>
      <c r="H304" s="106" t="s">
        <v>2782</v>
      </c>
      <c r="I304" s="106" t="s">
        <v>2819</v>
      </c>
      <c r="J304" s="106" t="s">
        <v>2287</v>
      </c>
      <c r="K304" s="106" t="s">
        <v>707</v>
      </c>
      <c r="L304" s="106" t="s">
        <v>2288</v>
      </c>
      <c r="N304" s="91">
        <f t="shared" si="10"/>
        <v>1</v>
      </c>
      <c r="O304" s="79" t="s">
        <v>1836</v>
      </c>
      <c r="P304" s="79" t="s">
        <v>1836</v>
      </c>
      <c r="Q304" s="79" t="s">
        <v>1835</v>
      </c>
      <c r="R304" s="79" t="s">
        <v>2770</v>
      </c>
      <c r="S304" s="79" t="s">
        <v>2836</v>
      </c>
      <c r="T304" s="79" t="s">
        <v>1837</v>
      </c>
      <c r="U304" s="79" t="s">
        <v>1838</v>
      </c>
      <c r="V304" s="79" t="s">
        <v>707</v>
      </c>
      <c r="W304" s="79" t="s">
        <v>1839</v>
      </c>
      <c r="Y304" s="79" t="s">
        <v>1835</v>
      </c>
    </row>
    <row r="305" spans="2:25" ht="12.75" customHeight="1" x14ac:dyDescent="0.2">
      <c r="B305" s="106" t="s">
        <v>3127</v>
      </c>
      <c r="C305" s="106" t="s">
        <v>3127</v>
      </c>
      <c r="D305" s="106" t="s">
        <v>3128</v>
      </c>
      <c r="E305" s="107" t="str">
        <f t="shared" si="9"/>
        <v>NELSONVILLE, OH, 45764</v>
      </c>
      <c r="F305" s="106" t="s">
        <v>3128</v>
      </c>
      <c r="G305" s="106" t="s">
        <v>3125</v>
      </c>
      <c r="H305" s="106" t="s">
        <v>2782</v>
      </c>
      <c r="I305" s="106" t="s">
        <v>2819</v>
      </c>
      <c r="J305" s="106" t="s">
        <v>2287</v>
      </c>
      <c r="K305" s="106" t="s">
        <v>707</v>
      </c>
      <c r="L305" s="106" t="s">
        <v>2288</v>
      </c>
      <c r="N305" s="91">
        <f t="shared" si="10"/>
        <v>1</v>
      </c>
      <c r="O305" s="79" t="s">
        <v>1847</v>
      </c>
      <c r="P305" s="79" t="s">
        <v>1847</v>
      </c>
      <c r="Q305" s="79" t="s">
        <v>1846</v>
      </c>
      <c r="R305" s="79" t="s">
        <v>2782</v>
      </c>
      <c r="S305" s="79" t="s">
        <v>2810</v>
      </c>
      <c r="T305" s="79" t="s">
        <v>1848</v>
      </c>
      <c r="U305" s="79" t="s">
        <v>1849</v>
      </c>
      <c r="V305" s="79" t="s">
        <v>707</v>
      </c>
      <c r="W305" s="79" t="s">
        <v>1850</v>
      </c>
      <c r="Y305" s="79" t="s">
        <v>1846</v>
      </c>
    </row>
    <row r="306" spans="2:25" ht="12.75" customHeight="1" x14ac:dyDescent="0.2">
      <c r="B306" s="106" t="s">
        <v>1776</v>
      </c>
      <c r="C306" s="106" t="s">
        <v>1776</v>
      </c>
      <c r="D306" s="106" t="s">
        <v>1775</v>
      </c>
      <c r="E306" s="107" t="str">
        <f t="shared" si="9"/>
        <v>MECHANICSBURG, OH, 43044</v>
      </c>
      <c r="F306" s="106" t="s">
        <v>1775</v>
      </c>
      <c r="G306" s="106" t="s">
        <v>1777</v>
      </c>
      <c r="H306" s="106" t="s">
        <v>2775</v>
      </c>
      <c r="I306" s="106" t="s">
        <v>2833</v>
      </c>
      <c r="J306" s="106" t="s">
        <v>1778</v>
      </c>
      <c r="K306" s="106" t="s">
        <v>707</v>
      </c>
      <c r="L306" s="106" t="s">
        <v>1779</v>
      </c>
      <c r="N306" s="91">
        <f t="shared" si="10"/>
        <v>1</v>
      </c>
      <c r="O306" s="79" t="s">
        <v>1844</v>
      </c>
      <c r="P306" s="79" t="s">
        <v>1844</v>
      </c>
      <c r="Q306" s="79" t="s">
        <v>1843</v>
      </c>
      <c r="R306" s="79" t="s">
        <v>2770</v>
      </c>
      <c r="S306" s="79" t="s">
        <v>2789</v>
      </c>
      <c r="T306" s="79" t="s">
        <v>1845</v>
      </c>
      <c r="U306" s="79" t="s">
        <v>1144</v>
      </c>
      <c r="V306" s="79" t="s">
        <v>707</v>
      </c>
      <c r="W306" s="79" t="s">
        <v>1145</v>
      </c>
      <c r="Y306" s="79" t="s">
        <v>1843</v>
      </c>
    </row>
    <row r="307" spans="2:25" ht="12.75" customHeight="1" x14ac:dyDescent="0.2">
      <c r="B307" s="106" t="s">
        <v>2033</v>
      </c>
      <c r="C307" s="106" t="s">
        <v>2033</v>
      </c>
      <c r="D307" s="106" t="s">
        <v>2032</v>
      </c>
      <c r="E307" s="107" t="str">
        <f t="shared" si="9"/>
        <v>SABINA, OH, 45169</v>
      </c>
      <c r="F307" s="106" t="s">
        <v>2032</v>
      </c>
      <c r="G307" s="106" t="s">
        <v>2034</v>
      </c>
      <c r="H307" s="106" t="s">
        <v>2770</v>
      </c>
      <c r="I307" s="106" t="s">
        <v>2826</v>
      </c>
      <c r="J307" s="106" t="s">
        <v>2035</v>
      </c>
      <c r="K307" s="106" t="s">
        <v>707</v>
      </c>
      <c r="L307" s="106" t="s">
        <v>2036</v>
      </c>
      <c r="N307" s="91">
        <f t="shared" si="10"/>
        <v>1</v>
      </c>
      <c r="O307" s="79" t="s">
        <v>1841</v>
      </c>
      <c r="P307" s="79" t="s">
        <v>1841</v>
      </c>
      <c r="Q307" s="79" t="s">
        <v>1840</v>
      </c>
      <c r="R307" s="79" t="s">
        <v>2770</v>
      </c>
      <c r="S307" s="79" t="s">
        <v>2789</v>
      </c>
      <c r="T307" s="79" t="s">
        <v>1842</v>
      </c>
      <c r="U307" s="79" t="s">
        <v>1144</v>
      </c>
      <c r="V307" s="79" t="s">
        <v>707</v>
      </c>
      <c r="W307" s="79" t="s">
        <v>1145</v>
      </c>
      <c r="Y307" s="79" t="s">
        <v>1840</v>
      </c>
    </row>
    <row r="308" spans="2:25" ht="12.75" customHeight="1" x14ac:dyDescent="0.2">
      <c r="B308" s="106" t="s">
        <v>1667</v>
      </c>
      <c r="C308" s="106" t="s">
        <v>1667</v>
      </c>
      <c r="D308" s="106" t="s">
        <v>1666</v>
      </c>
      <c r="E308" s="107" t="str">
        <f t="shared" si="9"/>
        <v>CIRCLEVILLE, OH, 43113</v>
      </c>
      <c r="F308" s="106" t="s">
        <v>1666</v>
      </c>
      <c r="G308" s="106" t="s">
        <v>1668</v>
      </c>
      <c r="H308" s="106" t="s">
        <v>2834</v>
      </c>
      <c r="I308" s="106" t="s">
        <v>2835</v>
      </c>
      <c r="J308" s="106" t="s">
        <v>1669</v>
      </c>
      <c r="K308" s="106" t="s">
        <v>707</v>
      </c>
      <c r="L308" s="106" t="s">
        <v>1670</v>
      </c>
      <c r="N308" s="91">
        <f t="shared" si="10"/>
        <v>1</v>
      </c>
      <c r="O308" s="79" t="s">
        <v>1805</v>
      </c>
      <c r="P308" s="79" t="s">
        <v>1805</v>
      </c>
      <c r="Q308" s="79" t="s">
        <v>1804</v>
      </c>
      <c r="R308" s="79" t="s">
        <v>2770</v>
      </c>
      <c r="S308" s="79" t="s">
        <v>2827</v>
      </c>
      <c r="T308" s="79" t="s">
        <v>1806</v>
      </c>
      <c r="U308" s="79" t="s">
        <v>1807</v>
      </c>
      <c r="V308" s="79" t="s">
        <v>707</v>
      </c>
      <c r="W308" s="79" t="s">
        <v>1808</v>
      </c>
      <c r="Y308" s="79" t="s">
        <v>1804</v>
      </c>
    </row>
    <row r="309" spans="2:25" ht="12.75" customHeight="1" x14ac:dyDescent="0.2">
      <c r="B309" s="143" t="s">
        <v>1667</v>
      </c>
      <c r="C309" s="143" t="s">
        <v>1667</v>
      </c>
      <c r="D309" s="143" t="s">
        <v>2693</v>
      </c>
      <c r="E309" s="107" t="str">
        <f t="shared" si="9"/>
        <v>CIRCLEVILLE, OH, 43113</v>
      </c>
      <c r="F309" s="143" t="s">
        <v>2693</v>
      </c>
      <c r="G309" s="143" t="s">
        <v>1668</v>
      </c>
      <c r="H309" s="143" t="s">
        <v>2834</v>
      </c>
      <c r="I309" s="143" t="s">
        <v>2835</v>
      </c>
      <c r="J309" s="143" t="s">
        <v>1669</v>
      </c>
      <c r="K309" s="143" t="s">
        <v>707</v>
      </c>
      <c r="L309" s="143" t="s">
        <v>1670</v>
      </c>
      <c r="N309" s="91">
        <f t="shared" si="10"/>
        <v>1</v>
      </c>
      <c r="O309" s="79" t="s">
        <v>2145</v>
      </c>
      <c r="P309" s="79" t="s">
        <v>2145</v>
      </c>
      <c r="Q309" s="79" t="s">
        <v>2144</v>
      </c>
      <c r="R309" s="79" t="s">
        <v>2780</v>
      </c>
      <c r="S309" s="79" t="s">
        <v>2797</v>
      </c>
      <c r="T309" s="79" t="s">
        <v>2146</v>
      </c>
      <c r="U309" s="79" t="s">
        <v>2127</v>
      </c>
      <c r="V309" s="79" t="s">
        <v>707</v>
      </c>
      <c r="W309" s="79" t="s">
        <v>2128</v>
      </c>
      <c r="Y309" s="79" t="s">
        <v>2144</v>
      </c>
    </row>
    <row r="310" spans="2:25" ht="12.75" customHeight="1" x14ac:dyDescent="0.2">
      <c r="B310" s="106" t="s">
        <v>2081</v>
      </c>
      <c r="C310" s="106" t="s">
        <v>2081</v>
      </c>
      <c r="D310" s="106" t="s">
        <v>2080</v>
      </c>
      <c r="E310" s="107" t="str">
        <f t="shared" si="9"/>
        <v>XENIA, OH, 45385</v>
      </c>
      <c r="F310" s="106" t="s">
        <v>2080</v>
      </c>
      <c r="G310" s="106" t="s">
        <v>2082</v>
      </c>
      <c r="H310" s="106" t="s">
        <v>2770</v>
      </c>
      <c r="I310" s="106" t="s">
        <v>2826</v>
      </c>
      <c r="J310" s="106" t="s">
        <v>1822</v>
      </c>
      <c r="K310" s="106" t="s">
        <v>707</v>
      </c>
      <c r="L310" s="106" t="s">
        <v>1823</v>
      </c>
      <c r="N310" s="91">
        <f t="shared" si="10"/>
        <v>1</v>
      </c>
      <c r="O310" s="79" t="s">
        <v>2155</v>
      </c>
      <c r="P310" s="79" t="s">
        <v>2155</v>
      </c>
      <c r="Q310" s="79" t="s">
        <v>2154</v>
      </c>
      <c r="R310" s="79" t="s">
        <v>2780</v>
      </c>
      <c r="S310" s="79" t="s">
        <v>2820</v>
      </c>
      <c r="T310" s="79" t="s">
        <v>2156</v>
      </c>
      <c r="U310" s="79" t="s">
        <v>2157</v>
      </c>
      <c r="V310" s="79" t="s">
        <v>707</v>
      </c>
      <c r="W310" s="79" t="s">
        <v>2158</v>
      </c>
      <c r="Y310" s="79" t="s">
        <v>2154</v>
      </c>
    </row>
    <row r="311" spans="2:25" ht="12.75" customHeight="1" x14ac:dyDescent="0.2">
      <c r="B311" s="106" t="s">
        <v>1836</v>
      </c>
      <c r="C311" s="106" t="s">
        <v>1836</v>
      </c>
      <c r="D311" s="106" t="s">
        <v>1835</v>
      </c>
      <c r="E311" s="107" t="str">
        <f t="shared" si="9"/>
        <v>WILMINGTON, OH, 45177</v>
      </c>
      <c r="F311" s="106" t="s">
        <v>1835</v>
      </c>
      <c r="G311" s="106" t="s">
        <v>1837</v>
      </c>
      <c r="H311" s="106" t="s">
        <v>2770</v>
      </c>
      <c r="I311" s="106" t="s">
        <v>2836</v>
      </c>
      <c r="J311" s="106" t="s">
        <v>1838</v>
      </c>
      <c r="K311" s="106" t="s">
        <v>707</v>
      </c>
      <c r="L311" s="106" t="s">
        <v>1839</v>
      </c>
      <c r="N311" s="91">
        <f t="shared" si="10"/>
        <v>1</v>
      </c>
      <c r="O311" s="79" t="s">
        <v>2160</v>
      </c>
      <c r="P311" s="79" t="s">
        <v>2160</v>
      </c>
      <c r="Q311" s="79" t="s">
        <v>2159</v>
      </c>
      <c r="R311" s="79" t="s">
        <v>2782</v>
      </c>
      <c r="S311" s="79" t="s">
        <v>2819</v>
      </c>
      <c r="T311" s="79" t="s">
        <v>2121</v>
      </c>
      <c r="U311" s="79" t="s">
        <v>2122</v>
      </c>
      <c r="V311" s="79" t="s">
        <v>707</v>
      </c>
      <c r="W311" s="79" t="s">
        <v>2123</v>
      </c>
      <c r="Y311" s="79" t="s">
        <v>2159</v>
      </c>
    </row>
    <row r="312" spans="2:25" ht="12.75" customHeight="1" x14ac:dyDescent="0.2">
      <c r="B312" s="106" t="s">
        <v>1847</v>
      </c>
      <c r="C312" s="106" t="s">
        <v>1847</v>
      </c>
      <c r="D312" s="106" t="s">
        <v>1846</v>
      </c>
      <c r="E312" s="107" t="str">
        <f t="shared" si="9"/>
        <v>LOGAN, OH, 43138</v>
      </c>
      <c r="F312" s="106" t="s">
        <v>1846</v>
      </c>
      <c r="G312" s="106" t="s">
        <v>1848</v>
      </c>
      <c r="H312" s="106" t="s">
        <v>2782</v>
      </c>
      <c r="I312" s="106" t="s">
        <v>2810</v>
      </c>
      <c r="J312" s="106" t="s">
        <v>1849</v>
      </c>
      <c r="K312" s="106" t="s">
        <v>707</v>
      </c>
      <c r="L312" s="106" t="s">
        <v>1850</v>
      </c>
      <c r="N312" s="91">
        <f t="shared" si="10"/>
        <v>1</v>
      </c>
      <c r="O312" s="79" t="s">
        <v>2727</v>
      </c>
      <c r="P312" s="79" t="s">
        <v>2727</v>
      </c>
      <c r="Q312" s="79" t="s">
        <v>2726</v>
      </c>
      <c r="R312" s="79" t="s">
        <v>2780</v>
      </c>
      <c r="S312" s="79" t="s">
        <v>2797</v>
      </c>
      <c r="T312" s="79" t="s">
        <v>2728</v>
      </c>
      <c r="U312" s="79" t="s">
        <v>2192</v>
      </c>
      <c r="V312" s="79" t="s">
        <v>707</v>
      </c>
      <c r="W312" s="79" t="s">
        <v>2193</v>
      </c>
      <c r="Y312" s="79" t="s">
        <v>2726</v>
      </c>
    </row>
    <row r="313" spans="2:25" ht="12.75" customHeight="1" x14ac:dyDescent="0.2">
      <c r="B313" s="106" t="s">
        <v>1844</v>
      </c>
      <c r="C313" s="106" t="s">
        <v>1844</v>
      </c>
      <c r="D313" s="106" t="s">
        <v>1843</v>
      </c>
      <c r="E313" s="107" t="str">
        <f t="shared" si="9"/>
        <v>CINCINNATI, OH, 45226</v>
      </c>
      <c r="F313" s="106" t="s">
        <v>1843</v>
      </c>
      <c r="G313" s="106" t="s">
        <v>1845</v>
      </c>
      <c r="H313" s="106" t="s">
        <v>2770</v>
      </c>
      <c r="I313" s="106" t="s">
        <v>2789</v>
      </c>
      <c r="J313" s="106" t="s">
        <v>1144</v>
      </c>
      <c r="K313" s="106" t="s">
        <v>707</v>
      </c>
      <c r="L313" s="106" t="s">
        <v>1145</v>
      </c>
      <c r="N313" s="91">
        <f t="shared" si="10"/>
        <v>1</v>
      </c>
      <c r="O313" s="79" t="s">
        <v>1632</v>
      </c>
      <c r="P313" s="79" t="s">
        <v>1632</v>
      </c>
      <c r="Q313" s="79" t="s">
        <v>1631</v>
      </c>
      <c r="R313" s="79" t="s">
        <v>2834</v>
      </c>
      <c r="S313" s="79" t="s">
        <v>2837</v>
      </c>
      <c r="T313" s="79" t="s">
        <v>1633</v>
      </c>
      <c r="U313" s="79" t="s">
        <v>1634</v>
      </c>
      <c r="V313" s="79" t="s">
        <v>707</v>
      </c>
      <c r="W313" s="79" t="s">
        <v>1635</v>
      </c>
      <c r="Y313" s="79" t="s">
        <v>1631</v>
      </c>
    </row>
    <row r="314" spans="2:25" ht="12.75" customHeight="1" x14ac:dyDescent="0.2">
      <c r="B314" s="106" t="s">
        <v>1841</v>
      </c>
      <c r="C314" s="106" t="s">
        <v>1841</v>
      </c>
      <c r="D314" s="106" t="s">
        <v>1840</v>
      </c>
      <c r="E314" s="107" t="str">
        <f t="shared" si="9"/>
        <v>CINCINNATI, OH, 45226</v>
      </c>
      <c r="F314" s="106" t="s">
        <v>1840</v>
      </c>
      <c r="G314" s="106" t="s">
        <v>1842</v>
      </c>
      <c r="H314" s="106" t="s">
        <v>2770</v>
      </c>
      <c r="I314" s="106" t="s">
        <v>2789</v>
      </c>
      <c r="J314" s="106" t="s">
        <v>1144</v>
      </c>
      <c r="K314" s="106" t="s">
        <v>707</v>
      </c>
      <c r="L314" s="106" t="s">
        <v>1145</v>
      </c>
      <c r="N314" s="91">
        <f t="shared" si="10"/>
        <v>1</v>
      </c>
      <c r="O314" s="79" t="s">
        <v>1007</v>
      </c>
      <c r="P314" s="79" t="s">
        <v>1007</v>
      </c>
      <c r="Q314" s="79" t="s">
        <v>1006</v>
      </c>
      <c r="R314" s="79" t="s">
        <v>2772</v>
      </c>
      <c r="S314" s="79" t="s">
        <v>2806</v>
      </c>
      <c r="T314" s="79" t="s">
        <v>1008</v>
      </c>
      <c r="U314" s="79" t="s">
        <v>1009</v>
      </c>
      <c r="V314" s="79" t="s">
        <v>707</v>
      </c>
      <c r="W314" s="79" t="s">
        <v>1010</v>
      </c>
      <c r="Y314" s="79" t="s">
        <v>1006</v>
      </c>
    </row>
    <row r="315" spans="2:25" ht="12.75" customHeight="1" x14ac:dyDescent="0.2">
      <c r="B315" s="106" t="s">
        <v>3095</v>
      </c>
      <c r="C315" s="106" t="s">
        <v>3095</v>
      </c>
      <c r="D315" s="106" t="s">
        <v>3096</v>
      </c>
      <c r="E315" s="107" t="str">
        <f t="shared" si="9"/>
        <v>HARRISON, OH, 45030</v>
      </c>
      <c r="F315" s="106" t="s">
        <v>3096</v>
      </c>
      <c r="G315" s="106" t="s">
        <v>1968</v>
      </c>
      <c r="H315" s="106" t="s">
        <v>2770</v>
      </c>
      <c r="I315" s="106" t="s">
        <v>2824</v>
      </c>
      <c r="J315" s="106" t="s">
        <v>1879</v>
      </c>
      <c r="K315" s="106" t="s">
        <v>707</v>
      </c>
      <c r="L315" s="106" t="s">
        <v>1880</v>
      </c>
      <c r="N315" s="91">
        <f t="shared" si="10"/>
        <v>1</v>
      </c>
      <c r="O315" s="79" t="s">
        <v>1014</v>
      </c>
      <c r="P315" s="79" t="s">
        <v>1014</v>
      </c>
      <c r="Q315" s="79" t="s">
        <v>1013</v>
      </c>
      <c r="R315" s="79" t="s">
        <v>2762</v>
      </c>
      <c r="S315" s="79" t="s">
        <v>2766</v>
      </c>
      <c r="T315" s="79" t="s">
        <v>816</v>
      </c>
      <c r="U315" s="79" t="s">
        <v>817</v>
      </c>
      <c r="V315" s="79" t="s">
        <v>707</v>
      </c>
      <c r="W315" s="79" t="s">
        <v>818</v>
      </c>
      <c r="Y315" s="79" t="s">
        <v>1013</v>
      </c>
    </row>
    <row r="316" spans="2:25" ht="12.75" customHeight="1" x14ac:dyDescent="0.2">
      <c r="B316" s="106" t="s">
        <v>1805</v>
      </c>
      <c r="C316" s="106" t="s">
        <v>1805</v>
      </c>
      <c r="D316" s="106" t="s">
        <v>1804</v>
      </c>
      <c r="E316" s="107" t="str">
        <f t="shared" si="9"/>
        <v>MIDDLETOWN, OH, 45044</v>
      </c>
      <c r="F316" s="106" t="s">
        <v>1804</v>
      </c>
      <c r="G316" s="106" t="s">
        <v>1806</v>
      </c>
      <c r="H316" s="106" t="s">
        <v>2770</v>
      </c>
      <c r="I316" s="106" t="s">
        <v>2827</v>
      </c>
      <c r="J316" s="106" t="s">
        <v>1807</v>
      </c>
      <c r="K316" s="106" t="s">
        <v>707</v>
      </c>
      <c r="L316" s="106" t="s">
        <v>1808</v>
      </c>
      <c r="N316" s="91">
        <f t="shared" si="10"/>
        <v>1</v>
      </c>
      <c r="O316" s="79" t="s">
        <v>1012</v>
      </c>
      <c r="P316" s="79" t="s">
        <v>1012</v>
      </c>
      <c r="Q316" s="79" t="s">
        <v>1011</v>
      </c>
      <c r="R316" s="79" t="s">
        <v>2762</v>
      </c>
      <c r="S316" s="79" t="s">
        <v>2763</v>
      </c>
      <c r="T316" s="79" t="s">
        <v>997</v>
      </c>
      <c r="U316" s="79" t="s">
        <v>998</v>
      </c>
      <c r="V316" s="79" t="s">
        <v>707</v>
      </c>
      <c r="W316" s="79" t="s">
        <v>999</v>
      </c>
      <c r="Y316" s="79" t="s">
        <v>1011</v>
      </c>
    </row>
    <row r="317" spans="2:25" ht="12.75" customHeight="1" x14ac:dyDescent="0.2">
      <c r="B317" s="106" t="s">
        <v>2145</v>
      </c>
      <c r="C317" s="106" t="s">
        <v>2145</v>
      </c>
      <c r="D317" s="106" t="s">
        <v>2144</v>
      </c>
      <c r="E317" s="107" t="str">
        <f t="shared" si="9"/>
        <v>OAK HILL, OH, 45656</v>
      </c>
      <c r="F317" s="106" t="s">
        <v>2144</v>
      </c>
      <c r="G317" s="106" t="s">
        <v>2146</v>
      </c>
      <c r="H317" s="106" t="s">
        <v>2780</v>
      </c>
      <c r="I317" s="106" t="s">
        <v>2797</v>
      </c>
      <c r="J317" s="106" t="s">
        <v>2127</v>
      </c>
      <c r="K317" s="106" t="s">
        <v>707</v>
      </c>
      <c r="L317" s="106" t="s">
        <v>2128</v>
      </c>
      <c r="N317" s="91">
        <f t="shared" si="10"/>
        <v>1</v>
      </c>
      <c r="O317" s="79" t="s">
        <v>1852</v>
      </c>
      <c r="P317" s="79" t="s">
        <v>1852</v>
      </c>
      <c r="Q317" s="79" t="s">
        <v>1851</v>
      </c>
      <c r="R317" s="79" t="s">
        <v>2770</v>
      </c>
      <c r="S317" s="79" t="s">
        <v>2828</v>
      </c>
      <c r="T317" s="79" t="s">
        <v>1853</v>
      </c>
      <c r="U317" s="79" t="s">
        <v>1854</v>
      </c>
      <c r="V317" s="79" t="s">
        <v>707</v>
      </c>
      <c r="W317" s="79" t="s">
        <v>1855</v>
      </c>
      <c r="Y317" s="79" t="s">
        <v>1851</v>
      </c>
    </row>
    <row r="318" spans="2:25" ht="12.75" customHeight="1" x14ac:dyDescent="0.2">
      <c r="B318" s="106" t="s">
        <v>2155</v>
      </c>
      <c r="C318" s="106" t="s">
        <v>2155</v>
      </c>
      <c r="D318" s="106" t="s">
        <v>2154</v>
      </c>
      <c r="E318" s="107" t="str">
        <f t="shared" si="9"/>
        <v>WASHINGTON COURT HOUSE, OH, 43160</v>
      </c>
      <c r="F318" s="106" t="s">
        <v>2154</v>
      </c>
      <c r="G318" s="106" t="s">
        <v>2156</v>
      </c>
      <c r="H318" s="106" t="s">
        <v>2780</v>
      </c>
      <c r="I318" s="106" t="s">
        <v>2820</v>
      </c>
      <c r="J318" s="106" t="s">
        <v>2157</v>
      </c>
      <c r="K318" s="106" t="s">
        <v>707</v>
      </c>
      <c r="L318" s="106" t="s">
        <v>2158</v>
      </c>
      <c r="N318" s="91">
        <f t="shared" si="10"/>
        <v>1</v>
      </c>
      <c r="O318" s="79" t="s">
        <v>1718</v>
      </c>
      <c r="P318" s="79" t="s">
        <v>1718</v>
      </c>
      <c r="Q318" s="79" t="s">
        <v>1717</v>
      </c>
      <c r="R318" s="79" t="s">
        <v>2775</v>
      </c>
      <c r="S318" s="79" t="s">
        <v>2779</v>
      </c>
      <c r="T318" s="79" t="s">
        <v>1719</v>
      </c>
      <c r="U318" s="79" t="s">
        <v>1710</v>
      </c>
      <c r="V318" s="79" t="s">
        <v>707</v>
      </c>
      <c r="W318" s="79" t="s">
        <v>1711</v>
      </c>
      <c r="Y318" s="79" t="s">
        <v>1717</v>
      </c>
    </row>
    <row r="319" spans="2:25" ht="12.75" customHeight="1" x14ac:dyDescent="0.2">
      <c r="B319" s="106" t="s">
        <v>2160</v>
      </c>
      <c r="C319" s="106" t="s">
        <v>2160</v>
      </c>
      <c r="D319" s="106" t="s">
        <v>2159</v>
      </c>
      <c r="E319" s="107" t="str">
        <f t="shared" si="9"/>
        <v>ALBANY, OH, 45710</v>
      </c>
      <c r="F319" s="106" t="s">
        <v>2159</v>
      </c>
      <c r="G319" s="106" t="s">
        <v>2121</v>
      </c>
      <c r="H319" s="106" t="s">
        <v>2782</v>
      </c>
      <c r="I319" s="106" t="s">
        <v>2819</v>
      </c>
      <c r="J319" s="106" t="s">
        <v>2122</v>
      </c>
      <c r="K319" s="106" t="s">
        <v>707</v>
      </c>
      <c r="L319" s="106" t="s">
        <v>2123</v>
      </c>
      <c r="N319" s="91">
        <f t="shared" si="10"/>
        <v>1</v>
      </c>
      <c r="O319" s="79" t="s">
        <v>2066</v>
      </c>
      <c r="P319" s="79" t="s">
        <v>2066</v>
      </c>
      <c r="Q319" s="79" t="s">
        <v>2065</v>
      </c>
      <c r="R319" s="79" t="s">
        <v>2770</v>
      </c>
      <c r="S319" s="79" t="s">
        <v>2826</v>
      </c>
      <c r="T319" s="79" t="s">
        <v>2067</v>
      </c>
      <c r="U319" s="79" t="s">
        <v>2056</v>
      </c>
      <c r="V319" s="79" t="s">
        <v>707</v>
      </c>
      <c r="W319" s="79" t="s">
        <v>2057</v>
      </c>
      <c r="Y319" s="79" t="s">
        <v>2065</v>
      </c>
    </row>
    <row r="320" spans="2:25" ht="12.75" customHeight="1" x14ac:dyDescent="0.2">
      <c r="B320" s="143" t="s">
        <v>2727</v>
      </c>
      <c r="C320" s="143" t="s">
        <v>2727</v>
      </c>
      <c r="D320" s="143" t="s">
        <v>2726</v>
      </c>
      <c r="E320" s="107" t="str">
        <f t="shared" si="9"/>
        <v>WELLSTON, OH, 45692</v>
      </c>
      <c r="F320" s="143" t="s">
        <v>2726</v>
      </c>
      <c r="G320" s="143" t="s">
        <v>2728</v>
      </c>
      <c r="H320" s="143" t="s">
        <v>2780</v>
      </c>
      <c r="I320" s="143" t="s">
        <v>2797</v>
      </c>
      <c r="J320" s="143" t="s">
        <v>2192</v>
      </c>
      <c r="K320" s="143" t="s">
        <v>707</v>
      </c>
      <c r="L320" s="143" t="s">
        <v>2193</v>
      </c>
      <c r="N320" s="91">
        <f t="shared" si="10"/>
        <v>1</v>
      </c>
      <c r="O320" s="79" t="s">
        <v>2180</v>
      </c>
      <c r="P320" s="79" t="s">
        <v>2180</v>
      </c>
      <c r="Q320" s="79" t="s">
        <v>2179</v>
      </c>
      <c r="R320" s="79" t="s">
        <v>2780</v>
      </c>
      <c r="S320" s="79" t="s">
        <v>2764</v>
      </c>
      <c r="T320" s="79" t="s">
        <v>2181</v>
      </c>
      <c r="U320" s="79" t="s">
        <v>2182</v>
      </c>
      <c r="V320" s="79" t="s">
        <v>1920</v>
      </c>
      <c r="W320" s="79" t="s">
        <v>2183</v>
      </c>
      <c r="Y320" s="79" t="s">
        <v>2179</v>
      </c>
    </row>
    <row r="321" spans="2:25" ht="12.75" customHeight="1" x14ac:dyDescent="0.2">
      <c r="B321" s="106" t="s">
        <v>1632</v>
      </c>
      <c r="C321" s="106" t="s">
        <v>1632</v>
      </c>
      <c r="D321" s="106" t="s">
        <v>1631</v>
      </c>
      <c r="E321" s="107" t="str">
        <f t="shared" si="9"/>
        <v>NEW HOLLAND, OH, 43145</v>
      </c>
      <c r="F321" s="106" t="s">
        <v>1631</v>
      </c>
      <c r="G321" s="106" t="s">
        <v>1633</v>
      </c>
      <c r="H321" s="106" t="s">
        <v>2834</v>
      </c>
      <c r="I321" s="106" t="s">
        <v>2837</v>
      </c>
      <c r="J321" s="106" t="s">
        <v>1634</v>
      </c>
      <c r="K321" s="106" t="s">
        <v>707</v>
      </c>
      <c r="L321" s="106" t="s">
        <v>1635</v>
      </c>
      <c r="N321" s="91">
        <f t="shared" si="10"/>
        <v>1</v>
      </c>
      <c r="O321" s="79" t="s">
        <v>2110</v>
      </c>
      <c r="P321" s="79" t="s">
        <v>2110</v>
      </c>
      <c r="Q321" s="79" t="s">
        <v>2109</v>
      </c>
      <c r="R321" s="79" t="s">
        <v>2780</v>
      </c>
      <c r="S321" s="79" t="s">
        <v>2764</v>
      </c>
      <c r="T321" s="79" t="s">
        <v>2111</v>
      </c>
      <c r="U321" s="79" t="s">
        <v>2112</v>
      </c>
      <c r="V321" s="79" t="s">
        <v>1920</v>
      </c>
      <c r="W321" s="79" t="s">
        <v>2113</v>
      </c>
      <c r="Y321" s="79" t="s">
        <v>2109</v>
      </c>
    </row>
    <row r="322" spans="2:25" ht="12.75" customHeight="1" x14ac:dyDescent="0.2">
      <c r="B322" s="106" t="s">
        <v>1007</v>
      </c>
      <c r="C322" s="106" t="s">
        <v>1007</v>
      </c>
      <c r="D322" s="106" t="s">
        <v>1006</v>
      </c>
      <c r="E322" s="107" t="str">
        <f t="shared" ref="E322:E385" si="11">CONCATENATE(J322,", ",K322,", ",L322)</f>
        <v>TIFFIN, OH, 44883</v>
      </c>
      <c r="F322" s="106" t="s">
        <v>1006</v>
      </c>
      <c r="G322" s="106" t="s">
        <v>1008</v>
      </c>
      <c r="H322" s="106" t="s">
        <v>2772</v>
      </c>
      <c r="I322" s="106" t="s">
        <v>2821</v>
      </c>
      <c r="J322" s="106" t="s">
        <v>1009</v>
      </c>
      <c r="K322" s="106" t="s">
        <v>707</v>
      </c>
      <c r="L322" s="106" t="s">
        <v>1010</v>
      </c>
      <c r="N322" s="91">
        <f t="shared" si="10"/>
        <v>1</v>
      </c>
      <c r="O322" s="79" t="s">
        <v>2235</v>
      </c>
      <c r="P322" s="79" t="s">
        <v>2235</v>
      </c>
      <c r="Q322" s="79" t="s">
        <v>2234</v>
      </c>
      <c r="R322" s="79" t="s">
        <v>2782</v>
      </c>
      <c r="S322" s="79" t="s">
        <v>2784</v>
      </c>
      <c r="T322" s="79" t="s">
        <v>1992</v>
      </c>
      <c r="U322" s="79" t="s">
        <v>1979</v>
      </c>
      <c r="V322" s="79" t="s">
        <v>707</v>
      </c>
      <c r="W322" s="79" t="s">
        <v>1980</v>
      </c>
      <c r="Y322" s="79" t="s">
        <v>2234</v>
      </c>
    </row>
    <row r="323" spans="2:25" ht="12.75" customHeight="1" x14ac:dyDescent="0.2">
      <c r="B323" s="106" t="s">
        <v>1014</v>
      </c>
      <c r="C323" s="106" t="s">
        <v>1014</v>
      </c>
      <c r="D323" s="106" t="s">
        <v>1013</v>
      </c>
      <c r="E323" s="107" t="str">
        <f t="shared" si="11"/>
        <v>ALLIANCE, OH, 44601</v>
      </c>
      <c r="F323" s="106" t="s">
        <v>1013</v>
      </c>
      <c r="G323" s="106" t="s">
        <v>816</v>
      </c>
      <c r="H323" s="106" t="s">
        <v>2762</v>
      </c>
      <c r="I323" s="106" t="s">
        <v>2766</v>
      </c>
      <c r="J323" s="106" t="s">
        <v>817</v>
      </c>
      <c r="K323" s="106" t="s">
        <v>707</v>
      </c>
      <c r="L323" s="106" t="s">
        <v>818</v>
      </c>
      <c r="N323" s="91">
        <f t="shared" si="10"/>
        <v>1</v>
      </c>
      <c r="O323" s="79" t="s">
        <v>2239</v>
      </c>
      <c r="P323" s="79" t="s">
        <v>2239</v>
      </c>
      <c r="Q323" s="79" t="s">
        <v>2238</v>
      </c>
      <c r="R323" s="79" t="s">
        <v>2782</v>
      </c>
      <c r="S323" s="79" t="s">
        <v>2838</v>
      </c>
      <c r="T323" s="79" t="s">
        <v>909</v>
      </c>
      <c r="U323" s="79" t="s">
        <v>910</v>
      </c>
      <c r="V323" s="79" t="s">
        <v>707</v>
      </c>
      <c r="W323" s="79" t="s">
        <v>911</v>
      </c>
      <c r="Y323" s="79" t="s">
        <v>2238</v>
      </c>
    </row>
    <row r="324" spans="2:25" ht="12.75" customHeight="1" x14ac:dyDescent="0.2">
      <c r="B324" s="106" t="s">
        <v>1012</v>
      </c>
      <c r="C324" s="106" t="s">
        <v>1012</v>
      </c>
      <c r="D324" s="106" t="s">
        <v>1011</v>
      </c>
      <c r="E324" s="107" t="str">
        <f t="shared" si="11"/>
        <v>TWINSBURG, OH, 44087</v>
      </c>
      <c r="F324" s="106" t="s">
        <v>1011</v>
      </c>
      <c r="G324" s="106" t="s">
        <v>997</v>
      </c>
      <c r="H324" s="106" t="s">
        <v>2762</v>
      </c>
      <c r="I324" s="106" t="s">
        <v>2763</v>
      </c>
      <c r="J324" s="106" t="s">
        <v>998</v>
      </c>
      <c r="K324" s="106" t="s">
        <v>707</v>
      </c>
      <c r="L324" s="106" t="s">
        <v>999</v>
      </c>
      <c r="N324" s="91">
        <f t="shared" si="10"/>
        <v>1</v>
      </c>
      <c r="O324" s="79" t="s">
        <v>2237</v>
      </c>
      <c r="P324" s="79" t="s">
        <v>2237</v>
      </c>
      <c r="Q324" s="79" t="s">
        <v>2236</v>
      </c>
      <c r="R324" s="79" t="s">
        <v>2791</v>
      </c>
      <c r="S324" s="79" t="s">
        <v>1489</v>
      </c>
      <c r="T324" s="79" t="s">
        <v>2012</v>
      </c>
      <c r="U324" s="79" t="s">
        <v>2013</v>
      </c>
      <c r="V324" s="79" t="s">
        <v>1489</v>
      </c>
      <c r="W324" s="79" t="s">
        <v>2014</v>
      </c>
      <c r="Y324" s="79" t="s">
        <v>2236</v>
      </c>
    </row>
    <row r="325" spans="2:25" ht="12.75" customHeight="1" x14ac:dyDescent="0.2">
      <c r="B325" s="106" t="s">
        <v>1852</v>
      </c>
      <c r="C325" s="106" t="s">
        <v>1852</v>
      </c>
      <c r="D325" s="106" t="s">
        <v>1851</v>
      </c>
      <c r="E325" s="107" t="str">
        <f t="shared" si="11"/>
        <v>MORROW, OH, 45152</v>
      </c>
      <c r="F325" s="106" t="s">
        <v>1851</v>
      </c>
      <c r="G325" s="106" t="s">
        <v>1853</v>
      </c>
      <c r="H325" s="106" t="s">
        <v>2770</v>
      </c>
      <c r="I325" s="106" t="s">
        <v>2828</v>
      </c>
      <c r="J325" s="106" t="s">
        <v>1854</v>
      </c>
      <c r="K325" s="106" t="s">
        <v>707</v>
      </c>
      <c r="L325" s="106" t="s">
        <v>1855</v>
      </c>
      <c r="N325" s="91">
        <f t="shared" si="10"/>
        <v>1</v>
      </c>
      <c r="O325" s="79" t="s">
        <v>2233</v>
      </c>
      <c r="P325" s="79" t="s">
        <v>2233</v>
      </c>
      <c r="Q325" s="79" t="s">
        <v>2232</v>
      </c>
      <c r="R325" s="79" t="s">
        <v>2782</v>
      </c>
      <c r="S325" s="79" t="s">
        <v>2839</v>
      </c>
      <c r="T325" s="79" t="s">
        <v>1983</v>
      </c>
      <c r="U325" s="79" t="s">
        <v>1134</v>
      </c>
      <c r="V325" s="79" t="s">
        <v>707</v>
      </c>
      <c r="W325" s="79" t="s">
        <v>1984</v>
      </c>
      <c r="Y325" s="79" t="s">
        <v>2232</v>
      </c>
    </row>
    <row r="326" spans="2:25" ht="12.75" customHeight="1" x14ac:dyDescent="0.2">
      <c r="B326" s="106" t="s">
        <v>1718</v>
      </c>
      <c r="C326" s="106" t="s">
        <v>1718</v>
      </c>
      <c r="D326" s="106" t="s">
        <v>1717</v>
      </c>
      <c r="E326" s="107" t="str">
        <f t="shared" si="11"/>
        <v>LUDLOW FALLS, OH, 45339</v>
      </c>
      <c r="F326" s="106" t="s">
        <v>1717</v>
      </c>
      <c r="G326" s="106" t="s">
        <v>1719</v>
      </c>
      <c r="H326" s="106" t="s">
        <v>2775</v>
      </c>
      <c r="I326" s="106" t="s">
        <v>2779</v>
      </c>
      <c r="J326" s="106" t="s">
        <v>1710</v>
      </c>
      <c r="K326" s="106" t="s">
        <v>707</v>
      </c>
      <c r="L326" s="106" t="s">
        <v>1711</v>
      </c>
      <c r="N326" s="91">
        <f t="shared" si="10"/>
        <v>1</v>
      </c>
      <c r="O326" s="79" t="s">
        <v>2227</v>
      </c>
      <c r="P326" s="79" t="s">
        <v>2227</v>
      </c>
      <c r="Q326" s="79" t="s">
        <v>2226</v>
      </c>
      <c r="R326" s="79" t="s">
        <v>2782</v>
      </c>
      <c r="S326" s="79" t="s">
        <v>2784</v>
      </c>
      <c r="T326" s="79" t="s">
        <v>2228</v>
      </c>
      <c r="U326" s="79" t="s">
        <v>1974</v>
      </c>
      <c r="V326" s="79" t="s">
        <v>707</v>
      </c>
      <c r="W326" s="79" t="s">
        <v>1975</v>
      </c>
      <c r="Y326" s="79" t="s">
        <v>2226</v>
      </c>
    </row>
    <row r="327" spans="2:25" ht="12.75" customHeight="1" x14ac:dyDescent="0.2">
      <c r="B327" s="106" t="s">
        <v>2066</v>
      </c>
      <c r="C327" s="106" t="s">
        <v>2066</v>
      </c>
      <c r="D327" s="106" t="s">
        <v>2065</v>
      </c>
      <c r="E327" s="107" t="str">
        <f t="shared" si="11"/>
        <v>SPRING VALLEY, OH, 45370</v>
      </c>
      <c r="F327" s="106" t="s">
        <v>2065</v>
      </c>
      <c r="G327" s="106" t="s">
        <v>2067</v>
      </c>
      <c r="H327" s="106" t="s">
        <v>2770</v>
      </c>
      <c r="I327" s="106" t="s">
        <v>2826</v>
      </c>
      <c r="J327" s="106" t="s">
        <v>2056</v>
      </c>
      <c r="K327" s="106" t="s">
        <v>707</v>
      </c>
      <c r="L327" s="106" t="s">
        <v>2057</v>
      </c>
      <c r="N327" s="91">
        <f t="shared" si="10"/>
        <v>1</v>
      </c>
      <c r="O327" s="79" t="s">
        <v>2230</v>
      </c>
      <c r="P327" s="79" t="s">
        <v>2230</v>
      </c>
      <c r="Q327" s="79" t="s">
        <v>2229</v>
      </c>
      <c r="R327" s="79" t="s">
        <v>2782</v>
      </c>
      <c r="S327" s="79" t="s">
        <v>2784</v>
      </c>
      <c r="T327" s="79" t="s">
        <v>2231</v>
      </c>
      <c r="U327" s="79" t="s">
        <v>1979</v>
      </c>
      <c r="V327" s="79" t="s">
        <v>707</v>
      </c>
      <c r="W327" s="79" t="s">
        <v>1980</v>
      </c>
      <c r="Y327" s="79" t="s">
        <v>2229</v>
      </c>
    </row>
    <row r="328" spans="2:25" ht="12.75" customHeight="1" x14ac:dyDescent="0.2">
      <c r="B328" s="106" t="s">
        <v>3112</v>
      </c>
      <c r="C328" s="106" t="s">
        <v>3112</v>
      </c>
      <c r="D328" s="106" t="s">
        <v>3113</v>
      </c>
      <c r="E328" s="107" t="str">
        <f t="shared" si="11"/>
        <v>OLIVE HILL, KY, 41164</v>
      </c>
      <c r="F328" s="106" t="s">
        <v>3113</v>
      </c>
      <c r="G328" s="106" t="s">
        <v>3114</v>
      </c>
      <c r="H328" s="106" t="s">
        <v>2780</v>
      </c>
      <c r="I328" s="106" t="s">
        <v>1920</v>
      </c>
      <c r="J328" s="106" t="s">
        <v>2112</v>
      </c>
      <c r="K328" s="106" t="s">
        <v>1920</v>
      </c>
      <c r="L328" s="106" t="s">
        <v>2113</v>
      </c>
      <c r="N328" s="91">
        <f t="shared" si="10"/>
        <v>1</v>
      </c>
      <c r="O328" s="79" t="s">
        <v>2241</v>
      </c>
      <c r="P328" s="79" t="s">
        <v>2241</v>
      </c>
      <c r="Q328" s="79" t="s">
        <v>2240</v>
      </c>
      <c r="R328" s="79" t="s">
        <v>2762</v>
      </c>
      <c r="S328" s="79" t="s">
        <v>2769</v>
      </c>
      <c r="T328" s="79" t="s">
        <v>807</v>
      </c>
      <c r="U328" s="79" t="s">
        <v>808</v>
      </c>
      <c r="V328" s="79" t="s">
        <v>707</v>
      </c>
      <c r="W328" s="79" t="s">
        <v>809</v>
      </c>
      <c r="Y328" s="79" t="s">
        <v>2240</v>
      </c>
    </row>
    <row r="329" spans="2:25" ht="12.75" customHeight="1" x14ac:dyDescent="0.2">
      <c r="B329" s="106" t="s">
        <v>2110</v>
      </c>
      <c r="C329" s="106" t="s">
        <v>2110</v>
      </c>
      <c r="D329" s="106" t="s">
        <v>2109</v>
      </c>
      <c r="E329" s="107" t="str">
        <f t="shared" si="11"/>
        <v>OLIVE HILL, KY, 41164</v>
      </c>
      <c r="F329" s="106" t="s">
        <v>2109</v>
      </c>
      <c r="G329" s="106" t="s">
        <v>2111</v>
      </c>
      <c r="H329" s="106" t="s">
        <v>2780</v>
      </c>
      <c r="I329" s="106" t="s">
        <v>2764</v>
      </c>
      <c r="J329" s="106" t="s">
        <v>2112</v>
      </c>
      <c r="K329" s="106" t="s">
        <v>1920</v>
      </c>
      <c r="L329" s="106" t="s">
        <v>2113</v>
      </c>
      <c r="N329" s="91">
        <f t="shared" si="10"/>
        <v>1</v>
      </c>
      <c r="O329" s="79" t="s">
        <v>2260</v>
      </c>
      <c r="P329" s="79" t="s">
        <v>2260</v>
      </c>
      <c r="Q329" s="79" t="s">
        <v>2259</v>
      </c>
      <c r="R329" s="79" t="s">
        <v>2782</v>
      </c>
      <c r="S329" s="79" t="s">
        <v>1489</v>
      </c>
      <c r="T329" s="79" t="s">
        <v>2002</v>
      </c>
      <c r="U329" s="79" t="s">
        <v>2003</v>
      </c>
      <c r="V329" s="79" t="s">
        <v>1489</v>
      </c>
      <c r="W329" s="79" t="s">
        <v>2004</v>
      </c>
      <c r="Y329" s="79" t="s">
        <v>2259</v>
      </c>
    </row>
    <row r="330" spans="2:25" ht="12.75" customHeight="1" x14ac:dyDescent="0.2">
      <c r="B330" s="106" t="s">
        <v>3116</v>
      </c>
      <c r="C330" s="106" t="s">
        <v>3116</v>
      </c>
      <c r="D330" s="106" t="s">
        <v>3117</v>
      </c>
      <c r="E330" s="107" t="str">
        <f t="shared" si="11"/>
        <v>CINCINNATI, OH, 45203</v>
      </c>
      <c r="F330" s="106" t="s">
        <v>3117</v>
      </c>
      <c r="G330" s="106" t="s">
        <v>3118</v>
      </c>
      <c r="H330" s="106" t="s">
        <v>2770</v>
      </c>
      <c r="I330" s="106" t="s">
        <v>2789</v>
      </c>
      <c r="J330" s="106" t="s">
        <v>1144</v>
      </c>
      <c r="K330" s="106" t="s">
        <v>707</v>
      </c>
      <c r="L330" s="106" t="s">
        <v>3119</v>
      </c>
      <c r="N330" s="91">
        <f t="shared" si="10"/>
        <v>1</v>
      </c>
      <c r="O330" s="79" t="s">
        <v>2253</v>
      </c>
      <c r="P330" s="79" t="s">
        <v>2253</v>
      </c>
      <c r="Q330" s="79" t="s">
        <v>2252</v>
      </c>
      <c r="R330" s="79" t="s">
        <v>2782</v>
      </c>
      <c r="S330" s="79" t="s">
        <v>2792</v>
      </c>
      <c r="T330" s="79" t="s">
        <v>909</v>
      </c>
      <c r="U330" s="79" t="s">
        <v>910</v>
      </c>
      <c r="V330" s="79" t="s">
        <v>707</v>
      </c>
      <c r="W330" s="79" t="s">
        <v>911</v>
      </c>
      <c r="Y330" s="79" t="s">
        <v>2252</v>
      </c>
    </row>
    <row r="331" spans="2:25" ht="12.75" customHeight="1" x14ac:dyDescent="0.2">
      <c r="B331" s="106" t="s">
        <v>2235</v>
      </c>
      <c r="C331" s="106" t="s">
        <v>2235</v>
      </c>
      <c r="D331" s="106" t="s">
        <v>2234</v>
      </c>
      <c r="E331" s="107" t="str">
        <f t="shared" si="11"/>
        <v>MARIETTA, OH, 45750</v>
      </c>
      <c r="F331" s="106" t="s">
        <v>2234</v>
      </c>
      <c r="G331" s="106" t="s">
        <v>1992</v>
      </c>
      <c r="H331" s="106" t="s">
        <v>2782</v>
      </c>
      <c r="I331" s="106" t="s">
        <v>2784</v>
      </c>
      <c r="J331" s="106" t="s">
        <v>1979</v>
      </c>
      <c r="K331" s="106" t="s">
        <v>707</v>
      </c>
      <c r="L331" s="106" t="s">
        <v>1980</v>
      </c>
      <c r="N331" s="91">
        <f t="shared" si="10"/>
        <v>1</v>
      </c>
      <c r="O331" s="79" t="s">
        <v>2255</v>
      </c>
      <c r="P331" s="79" t="s">
        <v>2255</v>
      </c>
      <c r="Q331" s="79" t="s">
        <v>2254</v>
      </c>
      <c r="R331" s="79" t="s">
        <v>2782</v>
      </c>
      <c r="S331" s="79" t="s">
        <v>2792</v>
      </c>
      <c r="T331" s="79" t="s">
        <v>2256</v>
      </c>
      <c r="U331" s="79" t="s">
        <v>2257</v>
      </c>
      <c r="V331" s="79" t="s">
        <v>707</v>
      </c>
      <c r="W331" s="79" t="s">
        <v>2258</v>
      </c>
      <c r="Y331" s="79" t="s">
        <v>2254</v>
      </c>
    </row>
    <row r="332" spans="2:25" ht="12.75" customHeight="1" x14ac:dyDescent="0.2">
      <c r="B332" s="106" t="s">
        <v>2239</v>
      </c>
      <c r="C332" s="106" t="s">
        <v>2239</v>
      </c>
      <c r="D332" s="106" t="s">
        <v>2238</v>
      </c>
      <c r="E332" s="107" t="str">
        <f t="shared" si="11"/>
        <v>SARDIS, OH, 43946</v>
      </c>
      <c r="F332" s="106" t="s">
        <v>2238</v>
      </c>
      <c r="G332" s="106" t="s">
        <v>909</v>
      </c>
      <c r="H332" s="106" t="s">
        <v>2782</v>
      </c>
      <c r="I332" s="106" t="s">
        <v>2838</v>
      </c>
      <c r="J332" s="106" t="s">
        <v>910</v>
      </c>
      <c r="K332" s="106" t="s">
        <v>707</v>
      </c>
      <c r="L332" s="106" t="s">
        <v>911</v>
      </c>
      <c r="N332" s="91">
        <f t="shared" si="10"/>
        <v>1</v>
      </c>
      <c r="O332" s="79" t="s">
        <v>2247</v>
      </c>
      <c r="P332" s="79" t="s">
        <v>2247</v>
      </c>
      <c r="Q332" s="79" t="s">
        <v>2246</v>
      </c>
      <c r="R332" s="79" t="s">
        <v>2782</v>
      </c>
      <c r="S332" s="79" t="s">
        <v>2839</v>
      </c>
      <c r="T332" s="79" t="s">
        <v>1983</v>
      </c>
      <c r="U332" s="79" t="s">
        <v>1134</v>
      </c>
      <c r="V332" s="79" t="s">
        <v>707</v>
      </c>
      <c r="W332" s="79" t="s">
        <v>1984</v>
      </c>
      <c r="Y332" s="79" t="s">
        <v>2246</v>
      </c>
    </row>
    <row r="333" spans="2:25" ht="12.75" customHeight="1" x14ac:dyDescent="0.2">
      <c r="B333" s="106" t="s">
        <v>2237</v>
      </c>
      <c r="C333" s="106" t="s">
        <v>2237</v>
      </c>
      <c r="D333" s="106" t="s">
        <v>2236</v>
      </c>
      <c r="E333" s="107" t="str">
        <f t="shared" si="11"/>
        <v>MOUNDSVILLE, WV, 26041</v>
      </c>
      <c r="F333" s="106" t="s">
        <v>2236</v>
      </c>
      <c r="G333" s="106" t="s">
        <v>2012</v>
      </c>
      <c r="H333" s="106" t="s">
        <v>2791</v>
      </c>
      <c r="I333" s="106" t="s">
        <v>1489</v>
      </c>
      <c r="J333" s="106" t="s">
        <v>2013</v>
      </c>
      <c r="K333" s="106" t="s">
        <v>1489</v>
      </c>
      <c r="L333" s="106" t="s">
        <v>2014</v>
      </c>
      <c r="N333" s="91">
        <f t="shared" si="10"/>
        <v>1</v>
      </c>
      <c r="O333" s="79" t="s">
        <v>2243</v>
      </c>
      <c r="P333" s="79" t="s">
        <v>2243</v>
      </c>
      <c r="Q333" s="79" t="s">
        <v>2242</v>
      </c>
      <c r="R333" s="79" t="s">
        <v>2782</v>
      </c>
      <c r="S333" s="79" t="s">
        <v>2784</v>
      </c>
      <c r="T333" s="79" t="s">
        <v>2228</v>
      </c>
      <c r="U333" s="79" t="s">
        <v>1974</v>
      </c>
      <c r="V333" s="79" t="s">
        <v>707</v>
      </c>
      <c r="W333" s="79" t="s">
        <v>1975</v>
      </c>
      <c r="Y333" s="79" t="s">
        <v>2242</v>
      </c>
    </row>
    <row r="334" spans="2:25" ht="12.75" customHeight="1" x14ac:dyDescent="0.2">
      <c r="B334" s="106" t="s">
        <v>2233</v>
      </c>
      <c r="C334" s="106" t="s">
        <v>2233</v>
      </c>
      <c r="D334" s="106" t="s">
        <v>2232</v>
      </c>
      <c r="E334" s="107" t="str">
        <f t="shared" si="11"/>
        <v>GALLIPOLIS, OH, 45669</v>
      </c>
      <c r="F334" s="106" t="s">
        <v>2232</v>
      </c>
      <c r="G334" s="106" t="s">
        <v>1983</v>
      </c>
      <c r="H334" s="106" t="s">
        <v>2782</v>
      </c>
      <c r="I334" s="106" t="s">
        <v>2839</v>
      </c>
      <c r="J334" s="106" t="s">
        <v>1134</v>
      </c>
      <c r="K334" s="106" t="s">
        <v>707</v>
      </c>
      <c r="L334" s="106" t="s">
        <v>1984</v>
      </c>
      <c r="N334" s="91">
        <f t="shared" si="10"/>
        <v>1</v>
      </c>
      <c r="O334" s="79" t="s">
        <v>2251</v>
      </c>
      <c r="P334" s="79" t="s">
        <v>2251</v>
      </c>
      <c r="Q334" s="79" t="s">
        <v>2250</v>
      </c>
      <c r="R334" s="79" t="s">
        <v>2791</v>
      </c>
      <c r="S334" s="79" t="s">
        <v>2809</v>
      </c>
      <c r="T334" s="79" t="s">
        <v>1995</v>
      </c>
      <c r="U334" s="79" t="s">
        <v>1996</v>
      </c>
      <c r="V334" s="79" t="s">
        <v>707</v>
      </c>
      <c r="W334" s="79" t="s">
        <v>1997</v>
      </c>
      <c r="Y334" s="79" t="s">
        <v>2250</v>
      </c>
    </row>
    <row r="335" spans="2:25" ht="12.75" customHeight="1" x14ac:dyDescent="0.2">
      <c r="B335" s="106" t="s">
        <v>2227</v>
      </c>
      <c r="C335" s="106" t="s">
        <v>2227</v>
      </c>
      <c r="D335" s="106" t="s">
        <v>2226</v>
      </c>
      <c r="E335" s="107" t="str">
        <f t="shared" si="11"/>
        <v>BELPRE, OH, 45714</v>
      </c>
      <c r="F335" s="106" t="s">
        <v>2226</v>
      </c>
      <c r="G335" s="106" t="s">
        <v>3115</v>
      </c>
      <c r="H335" s="106" t="s">
        <v>2782</v>
      </c>
      <c r="I335" s="106" t="s">
        <v>2784</v>
      </c>
      <c r="J335" s="106" t="s">
        <v>1974</v>
      </c>
      <c r="K335" s="106" t="s">
        <v>707</v>
      </c>
      <c r="L335" s="106" t="s">
        <v>1975</v>
      </c>
      <c r="N335" s="91">
        <f t="shared" si="10"/>
        <v>1</v>
      </c>
      <c r="O335" s="79" t="s">
        <v>2245</v>
      </c>
      <c r="P335" s="79" t="s">
        <v>2245</v>
      </c>
      <c r="Q335" s="79" t="s">
        <v>2244</v>
      </c>
      <c r="R335" s="79" t="s">
        <v>2782</v>
      </c>
      <c r="S335" s="79" t="s">
        <v>2784</v>
      </c>
      <c r="T335" s="79" t="s">
        <v>2231</v>
      </c>
      <c r="U335" s="79" t="s">
        <v>1979</v>
      </c>
      <c r="V335" s="79" t="s">
        <v>707</v>
      </c>
      <c r="W335" s="79" t="s">
        <v>1980</v>
      </c>
      <c r="Y335" s="79" t="s">
        <v>2244</v>
      </c>
    </row>
    <row r="336" spans="2:25" ht="12.75" customHeight="1" x14ac:dyDescent="0.2">
      <c r="B336" s="106" t="s">
        <v>2230</v>
      </c>
      <c r="C336" s="106" t="s">
        <v>2230</v>
      </c>
      <c r="D336" s="106" t="s">
        <v>2229</v>
      </c>
      <c r="E336" s="107" t="str">
        <f t="shared" si="11"/>
        <v>MARIETTA, OH, 45750</v>
      </c>
      <c r="F336" s="106" t="s">
        <v>2229</v>
      </c>
      <c r="G336" s="106" t="s">
        <v>2231</v>
      </c>
      <c r="H336" s="106" t="s">
        <v>2782</v>
      </c>
      <c r="I336" s="106" t="s">
        <v>2784</v>
      </c>
      <c r="J336" s="106" t="s">
        <v>1979</v>
      </c>
      <c r="K336" s="106" t="s">
        <v>707</v>
      </c>
      <c r="L336" s="106" t="s">
        <v>1980</v>
      </c>
      <c r="N336" s="91">
        <f t="shared" si="10"/>
        <v>1</v>
      </c>
      <c r="O336" s="79" t="s">
        <v>1977</v>
      </c>
      <c r="P336" s="79" t="s">
        <v>1977</v>
      </c>
      <c r="Q336" s="79" t="s">
        <v>1976</v>
      </c>
      <c r="R336" s="79" t="s">
        <v>2782</v>
      </c>
      <c r="S336" s="79" t="s">
        <v>2784</v>
      </c>
      <c r="T336" s="79" t="s">
        <v>1978</v>
      </c>
      <c r="U336" s="79" t="s">
        <v>1979</v>
      </c>
      <c r="V336" s="79" t="s">
        <v>707</v>
      </c>
      <c r="W336" s="79" t="s">
        <v>1980</v>
      </c>
      <c r="Y336" s="79" t="s">
        <v>1976</v>
      </c>
    </row>
    <row r="337" spans="2:25" ht="12.75" customHeight="1" x14ac:dyDescent="0.2">
      <c r="B337" s="106" t="s">
        <v>2260</v>
      </c>
      <c r="C337" s="106" t="s">
        <v>2260</v>
      </c>
      <c r="D337" s="106" t="s">
        <v>2259</v>
      </c>
      <c r="E337" s="107" t="str">
        <f t="shared" si="11"/>
        <v>ST. MARY'S, WV, 26170</v>
      </c>
      <c r="F337" s="106" t="s">
        <v>2259</v>
      </c>
      <c r="G337" s="106" t="s">
        <v>2002</v>
      </c>
      <c r="H337" s="106" t="s">
        <v>2782</v>
      </c>
      <c r="I337" s="106" t="s">
        <v>1489</v>
      </c>
      <c r="J337" s="106" t="s">
        <v>2003</v>
      </c>
      <c r="K337" s="106" t="s">
        <v>1489</v>
      </c>
      <c r="L337" s="106" t="s">
        <v>2004</v>
      </c>
      <c r="N337" s="91">
        <f t="shared" si="10"/>
        <v>1</v>
      </c>
      <c r="O337" s="79" t="s">
        <v>2249</v>
      </c>
      <c r="P337" s="79" t="s">
        <v>2249</v>
      </c>
      <c r="Q337" s="79" t="s">
        <v>2248</v>
      </c>
      <c r="R337" s="79" t="s">
        <v>2782</v>
      </c>
      <c r="S337" s="79" t="s">
        <v>2784</v>
      </c>
      <c r="T337" s="79" t="s">
        <v>1926</v>
      </c>
      <c r="U337" s="79" t="s">
        <v>1979</v>
      </c>
      <c r="V337" s="79" t="s">
        <v>707</v>
      </c>
      <c r="W337" s="79" t="s">
        <v>1980</v>
      </c>
      <c r="Y337" s="79" t="s">
        <v>2248</v>
      </c>
    </row>
    <row r="338" spans="2:25" ht="12.75" customHeight="1" x14ac:dyDescent="0.2">
      <c r="B338" s="106" t="s">
        <v>2253</v>
      </c>
      <c r="C338" s="106" t="s">
        <v>2253</v>
      </c>
      <c r="D338" s="106" t="s">
        <v>2252</v>
      </c>
      <c r="E338" s="107" t="str">
        <f t="shared" si="11"/>
        <v>SARDIS, OH, 43946</v>
      </c>
      <c r="F338" s="106" t="s">
        <v>2252</v>
      </c>
      <c r="G338" s="106" t="s">
        <v>909</v>
      </c>
      <c r="H338" s="106" t="s">
        <v>2782</v>
      </c>
      <c r="I338" s="106" t="s">
        <v>2792</v>
      </c>
      <c r="J338" s="106" t="s">
        <v>910</v>
      </c>
      <c r="K338" s="106" t="s">
        <v>707</v>
      </c>
      <c r="L338" s="106" t="s">
        <v>911</v>
      </c>
      <c r="N338" s="91">
        <f t="shared" si="10"/>
        <v>1</v>
      </c>
      <c r="O338" s="79" t="s">
        <v>1986</v>
      </c>
      <c r="P338" s="79" t="s">
        <v>1986</v>
      </c>
      <c r="Q338" s="79" t="s">
        <v>1985</v>
      </c>
      <c r="R338" s="79" t="s">
        <v>2791</v>
      </c>
      <c r="S338" s="79" t="s">
        <v>2764</v>
      </c>
      <c r="T338" s="79" t="s">
        <v>1987</v>
      </c>
      <c r="U338" s="79" t="s">
        <v>1988</v>
      </c>
      <c r="V338" s="79" t="s">
        <v>1489</v>
      </c>
      <c r="W338" s="79" t="s">
        <v>1989</v>
      </c>
      <c r="Y338" s="79" t="s">
        <v>1985</v>
      </c>
    </row>
    <row r="339" spans="2:25" ht="12.75" customHeight="1" x14ac:dyDescent="0.2">
      <c r="B339" s="106" t="s">
        <v>2255</v>
      </c>
      <c r="C339" s="106" t="s">
        <v>2255</v>
      </c>
      <c r="D339" s="106" t="s">
        <v>2254</v>
      </c>
      <c r="E339" s="107" t="str">
        <f t="shared" si="11"/>
        <v>CLARINGTON, OH, 43915</v>
      </c>
      <c r="F339" s="106" t="s">
        <v>2254</v>
      </c>
      <c r="G339" s="106" t="s">
        <v>2256</v>
      </c>
      <c r="H339" s="106" t="s">
        <v>2782</v>
      </c>
      <c r="I339" s="106" t="s">
        <v>2792</v>
      </c>
      <c r="J339" s="106" t="s">
        <v>2257</v>
      </c>
      <c r="K339" s="106" t="s">
        <v>707</v>
      </c>
      <c r="L339" s="106" t="s">
        <v>2258</v>
      </c>
      <c r="N339" s="91">
        <f t="shared" si="10"/>
        <v>1</v>
      </c>
      <c r="O339" s="79" t="s">
        <v>1991</v>
      </c>
      <c r="P339" s="79" t="s">
        <v>1991</v>
      </c>
      <c r="Q339" s="79" t="s">
        <v>1990</v>
      </c>
      <c r="R339" s="79" t="s">
        <v>2782</v>
      </c>
      <c r="S339" s="79" t="s">
        <v>2784</v>
      </c>
      <c r="T339" s="79" t="s">
        <v>1992</v>
      </c>
      <c r="U339" s="79" t="s">
        <v>1979</v>
      </c>
      <c r="V339" s="79" t="s">
        <v>707</v>
      </c>
      <c r="W339" s="79" t="s">
        <v>1980</v>
      </c>
      <c r="Y339" s="79" t="s">
        <v>1990</v>
      </c>
    </row>
    <row r="340" spans="2:25" ht="12.75" customHeight="1" x14ac:dyDescent="0.2">
      <c r="B340" s="106" t="s">
        <v>2247</v>
      </c>
      <c r="C340" s="106" t="s">
        <v>2247</v>
      </c>
      <c r="D340" s="106" t="s">
        <v>2246</v>
      </c>
      <c r="E340" s="107" t="str">
        <f t="shared" si="11"/>
        <v>GALLIPOLIS, OH, 45669</v>
      </c>
      <c r="F340" s="106" t="s">
        <v>2246</v>
      </c>
      <c r="G340" s="106" t="s">
        <v>1983</v>
      </c>
      <c r="H340" s="106" t="s">
        <v>2782</v>
      </c>
      <c r="I340" s="106" t="s">
        <v>2839</v>
      </c>
      <c r="J340" s="106" t="s">
        <v>1134</v>
      </c>
      <c r="K340" s="106" t="s">
        <v>707</v>
      </c>
      <c r="L340" s="106" t="s">
        <v>1984</v>
      </c>
      <c r="N340" s="91">
        <f t="shared" si="10"/>
        <v>1</v>
      </c>
      <c r="O340" s="79" t="s">
        <v>2001</v>
      </c>
      <c r="P340" s="79" t="s">
        <v>2001</v>
      </c>
      <c r="Q340" s="79" t="s">
        <v>2000</v>
      </c>
      <c r="R340" s="79" t="s">
        <v>2782</v>
      </c>
      <c r="S340" s="79" t="s">
        <v>1489</v>
      </c>
      <c r="T340" s="79" t="s">
        <v>2002</v>
      </c>
      <c r="U340" s="79" t="s">
        <v>2003</v>
      </c>
      <c r="V340" s="79" t="s">
        <v>1489</v>
      </c>
      <c r="W340" s="79" t="s">
        <v>2004</v>
      </c>
      <c r="Y340" s="79" t="s">
        <v>2000</v>
      </c>
    </row>
    <row r="341" spans="2:25" ht="12.75" customHeight="1" x14ac:dyDescent="0.2">
      <c r="B341" s="106" t="s">
        <v>2243</v>
      </c>
      <c r="C341" s="106" t="s">
        <v>2243</v>
      </c>
      <c r="D341" s="106" t="s">
        <v>2242</v>
      </c>
      <c r="E341" s="107" t="str">
        <f t="shared" si="11"/>
        <v>BELPRE, OH, 45714</v>
      </c>
      <c r="F341" s="106" t="s">
        <v>2242</v>
      </c>
      <c r="G341" s="106" t="s">
        <v>3115</v>
      </c>
      <c r="H341" s="106" t="s">
        <v>2782</v>
      </c>
      <c r="I341" s="106" t="s">
        <v>2784</v>
      </c>
      <c r="J341" s="106" t="s">
        <v>1974</v>
      </c>
      <c r="K341" s="106" t="s">
        <v>707</v>
      </c>
      <c r="L341" s="106" t="s">
        <v>1975</v>
      </c>
      <c r="N341" s="91">
        <f t="shared" ref="N341:N404" si="12">IF(O341=O340,1+N340,1)</f>
        <v>1</v>
      </c>
      <c r="O341" s="79" t="s">
        <v>1999</v>
      </c>
      <c r="P341" s="79" t="s">
        <v>1999</v>
      </c>
      <c r="Q341" s="79" t="s">
        <v>1998</v>
      </c>
      <c r="R341" s="79" t="s">
        <v>2782</v>
      </c>
      <c r="S341" s="79" t="s">
        <v>2792</v>
      </c>
      <c r="T341" s="79" t="s">
        <v>909</v>
      </c>
      <c r="U341" s="79" t="s">
        <v>910</v>
      </c>
      <c r="V341" s="79" t="s">
        <v>707</v>
      </c>
      <c r="W341" s="79" t="s">
        <v>911</v>
      </c>
      <c r="Y341" s="79" t="s">
        <v>1998</v>
      </c>
    </row>
    <row r="342" spans="2:25" ht="12.75" customHeight="1" x14ac:dyDescent="0.2">
      <c r="B342" s="106" t="s">
        <v>2251</v>
      </c>
      <c r="C342" s="106" t="s">
        <v>2251</v>
      </c>
      <c r="D342" s="106" t="s">
        <v>2250</v>
      </c>
      <c r="E342" s="107" t="str">
        <f t="shared" si="11"/>
        <v>BELLAIRE, OH, 43906</v>
      </c>
      <c r="F342" s="106" t="s">
        <v>2250</v>
      </c>
      <c r="G342" s="106" t="s">
        <v>1995</v>
      </c>
      <c r="H342" s="106" t="s">
        <v>2791</v>
      </c>
      <c r="I342" s="106" t="s">
        <v>2809</v>
      </c>
      <c r="J342" s="106" t="s">
        <v>1996</v>
      </c>
      <c r="K342" s="106" t="s">
        <v>707</v>
      </c>
      <c r="L342" s="106" t="s">
        <v>1997</v>
      </c>
      <c r="N342" s="91">
        <f t="shared" si="12"/>
        <v>1</v>
      </c>
      <c r="O342" s="79" t="s">
        <v>1972</v>
      </c>
      <c r="P342" s="79" t="s">
        <v>1972</v>
      </c>
      <c r="Q342" s="79" t="s">
        <v>1971</v>
      </c>
      <c r="R342" s="79" t="s">
        <v>2782</v>
      </c>
      <c r="S342" s="79" t="s">
        <v>2784</v>
      </c>
      <c r="T342" s="79" t="s">
        <v>1973</v>
      </c>
      <c r="U342" s="79" t="s">
        <v>1974</v>
      </c>
      <c r="V342" s="79" t="s">
        <v>707</v>
      </c>
      <c r="W342" s="79" t="s">
        <v>1975</v>
      </c>
      <c r="Y342" s="79" t="s">
        <v>1971</v>
      </c>
    </row>
    <row r="343" spans="2:25" ht="12.75" customHeight="1" x14ac:dyDescent="0.2">
      <c r="B343" s="106" t="s">
        <v>2245</v>
      </c>
      <c r="C343" s="106" t="s">
        <v>2245</v>
      </c>
      <c r="D343" s="106" t="s">
        <v>2244</v>
      </c>
      <c r="E343" s="107" t="str">
        <f t="shared" si="11"/>
        <v>MARIETTA, OH, 45750</v>
      </c>
      <c r="F343" s="106" t="s">
        <v>2244</v>
      </c>
      <c r="G343" s="106" t="s">
        <v>2231</v>
      </c>
      <c r="H343" s="106" t="s">
        <v>2782</v>
      </c>
      <c r="I343" s="106" t="s">
        <v>2784</v>
      </c>
      <c r="J343" s="106" t="s">
        <v>1979</v>
      </c>
      <c r="K343" s="106" t="s">
        <v>707</v>
      </c>
      <c r="L343" s="106" t="s">
        <v>1980</v>
      </c>
      <c r="N343" s="91">
        <f t="shared" si="12"/>
        <v>1</v>
      </c>
      <c r="O343" s="79" t="s">
        <v>1982</v>
      </c>
      <c r="P343" s="79" t="s">
        <v>1982</v>
      </c>
      <c r="Q343" s="79" t="s">
        <v>1981</v>
      </c>
      <c r="R343" s="79" t="s">
        <v>2782</v>
      </c>
      <c r="S343" s="79" t="s">
        <v>2839</v>
      </c>
      <c r="T343" s="79" t="s">
        <v>1983</v>
      </c>
      <c r="U343" s="79" t="s">
        <v>1134</v>
      </c>
      <c r="V343" s="79" t="s">
        <v>707</v>
      </c>
      <c r="W343" s="79" t="s">
        <v>1984</v>
      </c>
      <c r="Y343" s="79" t="s">
        <v>1981</v>
      </c>
    </row>
    <row r="344" spans="2:25" ht="12.75" customHeight="1" x14ac:dyDescent="0.2">
      <c r="B344" s="106" t="s">
        <v>1977</v>
      </c>
      <c r="C344" s="106" t="s">
        <v>1977</v>
      </c>
      <c r="D344" s="106" t="s">
        <v>1976</v>
      </c>
      <c r="E344" s="107" t="str">
        <f t="shared" si="11"/>
        <v>MARIETTA, OH, 45750</v>
      </c>
      <c r="F344" s="106" t="s">
        <v>1976</v>
      </c>
      <c r="G344" s="106" t="s">
        <v>1978</v>
      </c>
      <c r="H344" s="106" t="s">
        <v>2782</v>
      </c>
      <c r="I344" s="106" t="s">
        <v>2784</v>
      </c>
      <c r="J344" s="106" t="s">
        <v>1979</v>
      </c>
      <c r="K344" s="106" t="s">
        <v>707</v>
      </c>
      <c r="L344" s="106" t="s">
        <v>1980</v>
      </c>
      <c r="N344" s="91">
        <f t="shared" si="12"/>
        <v>1</v>
      </c>
      <c r="O344" s="79" t="s">
        <v>1994</v>
      </c>
      <c r="P344" s="79" t="s">
        <v>1994</v>
      </c>
      <c r="Q344" s="79" t="s">
        <v>1993</v>
      </c>
      <c r="R344" s="79" t="s">
        <v>2791</v>
      </c>
      <c r="S344" s="79" t="s">
        <v>2809</v>
      </c>
      <c r="T344" s="79" t="s">
        <v>1995</v>
      </c>
      <c r="U344" s="79" t="s">
        <v>1996</v>
      </c>
      <c r="V344" s="79" t="s">
        <v>707</v>
      </c>
      <c r="W344" s="79" t="s">
        <v>1997</v>
      </c>
      <c r="Y344" s="79" t="s">
        <v>1993</v>
      </c>
    </row>
    <row r="345" spans="2:25" ht="12.75" customHeight="1" x14ac:dyDescent="0.2">
      <c r="B345" s="106" t="s">
        <v>2249</v>
      </c>
      <c r="C345" s="106" t="s">
        <v>2249</v>
      </c>
      <c r="D345" s="106" t="s">
        <v>2248</v>
      </c>
      <c r="E345" s="107" t="str">
        <f t="shared" si="11"/>
        <v>MARIETTA, OH, 45750</v>
      </c>
      <c r="F345" s="106" t="s">
        <v>2248</v>
      </c>
      <c r="G345" s="106" t="s">
        <v>1926</v>
      </c>
      <c r="H345" s="106" t="s">
        <v>2782</v>
      </c>
      <c r="I345" s="106" t="s">
        <v>2784</v>
      </c>
      <c r="J345" s="106" t="s">
        <v>1979</v>
      </c>
      <c r="K345" s="106" t="s">
        <v>707</v>
      </c>
      <c r="L345" s="106" t="s">
        <v>1980</v>
      </c>
      <c r="N345" s="91">
        <f t="shared" si="12"/>
        <v>1</v>
      </c>
      <c r="O345" s="79" t="s">
        <v>851</v>
      </c>
      <c r="P345" s="79" t="s">
        <v>851</v>
      </c>
      <c r="Q345" s="79" t="s">
        <v>850</v>
      </c>
      <c r="R345" s="79" t="s">
        <v>2804</v>
      </c>
      <c r="S345" s="79" t="s">
        <v>2813</v>
      </c>
      <c r="T345" s="79" t="s">
        <v>852</v>
      </c>
      <c r="U345" s="79" t="s">
        <v>717</v>
      </c>
      <c r="V345" s="79" t="s">
        <v>707</v>
      </c>
      <c r="W345" s="79" t="s">
        <v>718</v>
      </c>
      <c r="Y345" s="79" t="s">
        <v>850</v>
      </c>
    </row>
    <row r="346" spans="2:25" ht="12.75" customHeight="1" x14ac:dyDescent="0.2">
      <c r="B346" s="106" t="s">
        <v>3120</v>
      </c>
      <c r="C346" s="106" t="s">
        <v>3120</v>
      </c>
      <c r="D346" s="106" t="s">
        <v>3121</v>
      </c>
      <c r="E346" s="107" t="str">
        <f t="shared" si="11"/>
        <v>MORRISTOWN, OH, 43759</v>
      </c>
      <c r="F346" s="106" t="s">
        <v>3121</v>
      </c>
      <c r="G346" s="106" t="s">
        <v>3104</v>
      </c>
      <c r="H346" s="106" t="s">
        <v>2791</v>
      </c>
      <c r="I346" s="106" t="s">
        <v>2809</v>
      </c>
      <c r="J346" s="106" t="s">
        <v>3105</v>
      </c>
      <c r="K346" s="106" t="s">
        <v>707</v>
      </c>
      <c r="L346" s="106" t="s">
        <v>3106</v>
      </c>
      <c r="N346" s="91">
        <f t="shared" si="12"/>
        <v>1</v>
      </c>
      <c r="O346" s="79" t="s">
        <v>1685</v>
      </c>
      <c r="P346" s="79" t="s">
        <v>1685</v>
      </c>
      <c r="Q346" s="79" t="s">
        <v>1684</v>
      </c>
      <c r="R346" s="79" t="s">
        <v>2834</v>
      </c>
      <c r="S346" s="79" t="s">
        <v>2840</v>
      </c>
      <c r="T346" s="79" t="s">
        <v>1686</v>
      </c>
      <c r="U346" s="79" t="s">
        <v>1664</v>
      </c>
      <c r="V346" s="79" t="s">
        <v>707</v>
      </c>
      <c r="W346" s="79" t="s">
        <v>1665</v>
      </c>
      <c r="Y346" s="79" t="s">
        <v>1684</v>
      </c>
    </row>
    <row r="347" spans="2:25" ht="12.75" customHeight="1" x14ac:dyDescent="0.2">
      <c r="B347" s="106" t="s">
        <v>1986</v>
      </c>
      <c r="C347" s="106" t="s">
        <v>1986</v>
      </c>
      <c r="D347" s="106" t="s">
        <v>1985</v>
      </c>
      <c r="E347" s="107" t="str">
        <f t="shared" si="11"/>
        <v>BENWOOD, WV, 26031</v>
      </c>
      <c r="F347" s="106" t="s">
        <v>1985</v>
      </c>
      <c r="G347" s="106" t="s">
        <v>1987</v>
      </c>
      <c r="H347" s="106" t="s">
        <v>2791</v>
      </c>
      <c r="I347" s="106" t="s">
        <v>2764</v>
      </c>
      <c r="J347" s="106" t="s">
        <v>1988</v>
      </c>
      <c r="K347" s="106" t="s">
        <v>1489</v>
      </c>
      <c r="L347" s="106" t="s">
        <v>1989</v>
      </c>
      <c r="N347" s="91">
        <f t="shared" si="12"/>
        <v>1</v>
      </c>
      <c r="O347" s="79" t="s">
        <v>2707</v>
      </c>
      <c r="P347" s="79" t="s">
        <v>2707</v>
      </c>
      <c r="Q347" s="79" t="s">
        <v>2706</v>
      </c>
      <c r="R347" s="79" t="s">
        <v>2775</v>
      </c>
      <c r="S347" s="79" t="s">
        <v>2794</v>
      </c>
      <c r="T347" s="79" t="s">
        <v>2708</v>
      </c>
      <c r="U347" s="79" t="s">
        <v>2709</v>
      </c>
      <c r="V347" s="79" t="s">
        <v>707</v>
      </c>
      <c r="W347" s="79" t="s">
        <v>2710</v>
      </c>
      <c r="Y347" s="79" t="s">
        <v>2706</v>
      </c>
    </row>
    <row r="348" spans="2:25" ht="12.75" customHeight="1" x14ac:dyDescent="0.2">
      <c r="B348" s="106" t="s">
        <v>1991</v>
      </c>
      <c r="C348" s="106" t="s">
        <v>1991</v>
      </c>
      <c r="D348" s="106" t="s">
        <v>1990</v>
      </c>
      <c r="E348" s="107" t="str">
        <f t="shared" si="11"/>
        <v>MARIETTA, OH, 45750</v>
      </c>
      <c r="F348" s="106" t="s">
        <v>1990</v>
      </c>
      <c r="G348" s="106" t="s">
        <v>1992</v>
      </c>
      <c r="H348" s="106" t="s">
        <v>2782</v>
      </c>
      <c r="I348" s="106" t="s">
        <v>2784</v>
      </c>
      <c r="J348" s="106" t="s">
        <v>1979</v>
      </c>
      <c r="K348" s="106" t="s">
        <v>707</v>
      </c>
      <c r="L348" s="106" t="s">
        <v>1980</v>
      </c>
      <c r="N348" s="91">
        <f t="shared" si="12"/>
        <v>1</v>
      </c>
      <c r="O348" s="79" t="s">
        <v>1211</v>
      </c>
      <c r="P348" s="79" t="s">
        <v>1211</v>
      </c>
      <c r="Q348" s="79" t="s">
        <v>1210</v>
      </c>
      <c r="R348" s="79" t="s">
        <v>2767</v>
      </c>
      <c r="S348" s="79" t="s">
        <v>2841</v>
      </c>
      <c r="T348" s="79" t="s">
        <v>1212</v>
      </c>
      <c r="U348" s="79" t="s">
        <v>1213</v>
      </c>
      <c r="V348" s="79" t="s">
        <v>707</v>
      </c>
      <c r="W348" s="79" t="s">
        <v>1214</v>
      </c>
      <c r="Y348" s="79" t="s">
        <v>1210</v>
      </c>
    </row>
    <row r="349" spans="2:25" ht="12.75" customHeight="1" x14ac:dyDescent="0.2">
      <c r="B349" s="106" t="s">
        <v>2001</v>
      </c>
      <c r="C349" s="106" t="s">
        <v>2001</v>
      </c>
      <c r="D349" s="106" t="s">
        <v>2000</v>
      </c>
      <c r="E349" s="107" t="str">
        <f t="shared" si="11"/>
        <v>ST. MARY'S, WV, 26170</v>
      </c>
      <c r="F349" s="106" t="s">
        <v>2000</v>
      </c>
      <c r="G349" s="106" t="s">
        <v>2002</v>
      </c>
      <c r="H349" s="106" t="s">
        <v>2782</v>
      </c>
      <c r="I349" s="106" t="s">
        <v>1489</v>
      </c>
      <c r="J349" s="106" t="s">
        <v>2003</v>
      </c>
      <c r="K349" s="106" t="s">
        <v>1489</v>
      </c>
      <c r="L349" s="106" t="s">
        <v>2004</v>
      </c>
      <c r="N349" s="91">
        <f t="shared" si="12"/>
        <v>2</v>
      </c>
      <c r="O349" s="79" t="s">
        <v>1211</v>
      </c>
      <c r="P349" s="79" t="s">
        <v>1211</v>
      </c>
      <c r="Q349" s="79" t="s">
        <v>2602</v>
      </c>
      <c r="R349" s="79" t="s">
        <v>2767</v>
      </c>
      <c r="S349" s="79" t="s">
        <v>2841</v>
      </c>
      <c r="T349" s="79" t="s">
        <v>1212</v>
      </c>
      <c r="U349" s="79" t="s">
        <v>1213</v>
      </c>
      <c r="V349" s="79" t="s">
        <v>707</v>
      </c>
      <c r="W349" s="79" t="s">
        <v>1214</v>
      </c>
      <c r="Y349" s="79" t="s">
        <v>2602</v>
      </c>
    </row>
    <row r="350" spans="2:25" ht="12.75" customHeight="1" x14ac:dyDescent="0.2">
      <c r="B350" s="106" t="s">
        <v>1999</v>
      </c>
      <c r="C350" s="106" t="s">
        <v>1999</v>
      </c>
      <c r="D350" s="106" t="s">
        <v>1998</v>
      </c>
      <c r="E350" s="107" t="str">
        <f t="shared" si="11"/>
        <v>SARDIS, OH, 43946</v>
      </c>
      <c r="F350" s="106" t="s">
        <v>1998</v>
      </c>
      <c r="G350" s="106" t="s">
        <v>909</v>
      </c>
      <c r="H350" s="106" t="s">
        <v>2782</v>
      </c>
      <c r="I350" s="106" t="s">
        <v>2792</v>
      </c>
      <c r="J350" s="106" t="s">
        <v>910</v>
      </c>
      <c r="K350" s="106" t="s">
        <v>707</v>
      </c>
      <c r="L350" s="106" t="s">
        <v>911</v>
      </c>
      <c r="N350" s="91">
        <f t="shared" si="12"/>
        <v>1</v>
      </c>
      <c r="O350" s="79" t="s">
        <v>1226</v>
      </c>
      <c r="P350" s="79" t="s">
        <v>1226</v>
      </c>
      <c r="Q350" s="79" t="s">
        <v>1225</v>
      </c>
      <c r="R350" s="79" t="s">
        <v>2786</v>
      </c>
      <c r="S350" s="79" t="s">
        <v>2795</v>
      </c>
      <c r="T350" s="79" t="s">
        <v>757</v>
      </c>
      <c r="U350" s="79" t="s">
        <v>758</v>
      </c>
      <c r="V350" s="79" t="s">
        <v>707</v>
      </c>
      <c r="W350" s="79" t="s">
        <v>759</v>
      </c>
      <c r="Y350" s="79" t="s">
        <v>1225</v>
      </c>
    </row>
    <row r="351" spans="2:25" ht="12.75" customHeight="1" x14ac:dyDescent="0.2">
      <c r="B351" s="106" t="s">
        <v>1972</v>
      </c>
      <c r="C351" s="106" t="s">
        <v>1972</v>
      </c>
      <c r="D351" s="106" t="s">
        <v>1971</v>
      </c>
      <c r="E351" s="107" t="str">
        <f t="shared" si="11"/>
        <v>BELPRE, OH, 45714</v>
      </c>
      <c r="F351" s="106" t="s">
        <v>1971</v>
      </c>
      <c r="G351" s="106" t="s">
        <v>1973</v>
      </c>
      <c r="H351" s="106" t="s">
        <v>2782</v>
      </c>
      <c r="I351" s="106" t="s">
        <v>2784</v>
      </c>
      <c r="J351" s="106" t="s">
        <v>1974</v>
      </c>
      <c r="K351" s="106" t="s">
        <v>707</v>
      </c>
      <c r="L351" s="106" t="s">
        <v>1975</v>
      </c>
      <c r="N351" s="91">
        <f t="shared" si="12"/>
        <v>1</v>
      </c>
      <c r="O351" s="79" t="s">
        <v>1222</v>
      </c>
      <c r="P351" s="79" t="s">
        <v>1222</v>
      </c>
      <c r="Q351" s="79" t="s">
        <v>1221</v>
      </c>
      <c r="R351" s="79" t="s">
        <v>2786</v>
      </c>
      <c r="S351" s="79" t="s">
        <v>2793</v>
      </c>
      <c r="T351" s="79" t="s">
        <v>742</v>
      </c>
      <c r="U351" s="79" t="s">
        <v>743</v>
      </c>
      <c r="V351" s="79" t="s">
        <v>707</v>
      </c>
      <c r="W351" s="79" t="s">
        <v>744</v>
      </c>
      <c r="Y351" s="79" t="s">
        <v>1221</v>
      </c>
    </row>
    <row r="352" spans="2:25" ht="12.75" customHeight="1" x14ac:dyDescent="0.2">
      <c r="B352" s="106" t="s">
        <v>1982</v>
      </c>
      <c r="C352" s="106" t="s">
        <v>1982</v>
      </c>
      <c r="D352" s="106" t="s">
        <v>1981</v>
      </c>
      <c r="E352" s="107" t="str">
        <f t="shared" si="11"/>
        <v>GALLIPOLIS, OH, 45669</v>
      </c>
      <c r="F352" s="106" t="s">
        <v>1981</v>
      </c>
      <c r="G352" s="106" t="s">
        <v>1983</v>
      </c>
      <c r="H352" s="106" t="s">
        <v>2782</v>
      </c>
      <c r="I352" s="106" t="s">
        <v>2839</v>
      </c>
      <c r="J352" s="106" t="s">
        <v>1134</v>
      </c>
      <c r="K352" s="106" t="s">
        <v>707</v>
      </c>
      <c r="L352" s="106" t="s">
        <v>1984</v>
      </c>
      <c r="N352" s="91">
        <f t="shared" si="12"/>
        <v>1</v>
      </c>
      <c r="O352" s="79" t="s">
        <v>1220</v>
      </c>
      <c r="P352" s="79" t="s">
        <v>1220</v>
      </c>
      <c r="Q352" s="79" t="s">
        <v>1219</v>
      </c>
      <c r="R352" s="79" t="s">
        <v>2762</v>
      </c>
      <c r="S352" s="79" t="s">
        <v>2774</v>
      </c>
      <c r="T352" s="79" t="s">
        <v>821</v>
      </c>
      <c r="U352" s="79" t="s">
        <v>822</v>
      </c>
      <c r="V352" s="79" t="s">
        <v>707</v>
      </c>
      <c r="W352" s="79" t="s">
        <v>823</v>
      </c>
      <c r="Y352" s="79" t="s">
        <v>1219</v>
      </c>
    </row>
    <row r="353" spans="2:25" ht="12.75" customHeight="1" x14ac:dyDescent="0.2">
      <c r="B353" s="106" t="s">
        <v>1994</v>
      </c>
      <c r="C353" s="106" t="s">
        <v>1994</v>
      </c>
      <c r="D353" s="106" t="s">
        <v>1993</v>
      </c>
      <c r="E353" s="107" t="str">
        <f t="shared" si="11"/>
        <v>BELLAIRE, OH, 43906</v>
      </c>
      <c r="F353" s="106" t="s">
        <v>1993</v>
      </c>
      <c r="G353" s="106" t="s">
        <v>1995</v>
      </c>
      <c r="H353" s="106" t="s">
        <v>2791</v>
      </c>
      <c r="I353" s="106" t="s">
        <v>2809</v>
      </c>
      <c r="J353" s="106" t="s">
        <v>1996</v>
      </c>
      <c r="K353" s="106" t="s">
        <v>707</v>
      </c>
      <c r="L353" s="106" t="s">
        <v>1997</v>
      </c>
      <c r="N353" s="91">
        <f t="shared" si="12"/>
        <v>1</v>
      </c>
      <c r="O353" s="79" t="s">
        <v>1218</v>
      </c>
      <c r="P353" s="79" t="s">
        <v>1218</v>
      </c>
      <c r="Q353" s="79" t="s">
        <v>1217</v>
      </c>
      <c r="R353" s="79" t="s">
        <v>2762</v>
      </c>
      <c r="S353" s="79" t="s">
        <v>2766</v>
      </c>
      <c r="T353" s="79" t="s">
        <v>774</v>
      </c>
      <c r="U353" s="79" t="s">
        <v>775</v>
      </c>
      <c r="V353" s="79" t="s">
        <v>707</v>
      </c>
      <c r="W353" s="79" t="s">
        <v>776</v>
      </c>
      <c r="Y353" s="79" t="s">
        <v>1217</v>
      </c>
    </row>
    <row r="354" spans="2:25" ht="12.75" customHeight="1" x14ac:dyDescent="0.2">
      <c r="B354" s="106" t="s">
        <v>851</v>
      </c>
      <c r="C354" s="106" t="s">
        <v>851</v>
      </c>
      <c r="D354" s="106" t="s">
        <v>850</v>
      </c>
      <c r="E354" s="107" t="str">
        <f t="shared" si="11"/>
        <v>UPPER SANDUSKY, OH, 43351</v>
      </c>
      <c r="F354" s="106" t="s">
        <v>850</v>
      </c>
      <c r="G354" s="106" t="s">
        <v>852</v>
      </c>
      <c r="H354" s="106" t="s">
        <v>2804</v>
      </c>
      <c r="I354" s="106" t="s">
        <v>2813</v>
      </c>
      <c r="J354" s="106" t="s">
        <v>717</v>
      </c>
      <c r="K354" s="106" t="s">
        <v>707</v>
      </c>
      <c r="L354" s="106" t="s">
        <v>718</v>
      </c>
      <c r="N354" s="91">
        <f t="shared" si="12"/>
        <v>1</v>
      </c>
      <c r="O354" s="79" t="s">
        <v>1224</v>
      </c>
      <c r="P354" s="79" t="s">
        <v>1224</v>
      </c>
      <c r="Q354" s="79" t="s">
        <v>1223</v>
      </c>
      <c r="R354" s="79" t="s">
        <v>2759</v>
      </c>
      <c r="S354" s="79" t="s">
        <v>2760</v>
      </c>
      <c r="T354" s="79" t="s">
        <v>891</v>
      </c>
      <c r="U354" s="79" t="s">
        <v>892</v>
      </c>
      <c r="V354" s="79" t="s">
        <v>707</v>
      </c>
      <c r="W354" s="79" t="s">
        <v>893</v>
      </c>
      <c r="Y354" s="79" t="s">
        <v>1223</v>
      </c>
    </row>
    <row r="355" spans="2:25" ht="12.75" customHeight="1" x14ac:dyDescent="0.2">
      <c r="B355" s="106" t="s">
        <v>1685</v>
      </c>
      <c r="C355" s="106" t="s">
        <v>1685</v>
      </c>
      <c r="D355" s="106" t="s">
        <v>1684</v>
      </c>
      <c r="E355" s="107" t="str">
        <f t="shared" si="11"/>
        <v>LOCKBOURNE, OH, 43137</v>
      </c>
      <c r="F355" s="106" t="s">
        <v>1684</v>
      </c>
      <c r="G355" s="106" t="s">
        <v>1686</v>
      </c>
      <c r="H355" s="106" t="s">
        <v>2834</v>
      </c>
      <c r="I355" s="106" t="s">
        <v>2840</v>
      </c>
      <c r="J355" s="106" t="s">
        <v>1664</v>
      </c>
      <c r="K355" s="106" t="s">
        <v>707</v>
      </c>
      <c r="L355" s="106" t="s">
        <v>1665</v>
      </c>
      <c r="N355" s="91">
        <f t="shared" si="12"/>
        <v>1</v>
      </c>
      <c r="O355" s="79" t="s">
        <v>1216</v>
      </c>
      <c r="P355" s="79" t="s">
        <v>1216</v>
      </c>
      <c r="Q355" s="79" t="s">
        <v>1215</v>
      </c>
      <c r="R355" s="79" t="s">
        <v>2767</v>
      </c>
      <c r="S355" s="79" t="s">
        <v>2842</v>
      </c>
      <c r="T355" s="79" t="s">
        <v>767</v>
      </c>
      <c r="U355" s="79" t="s">
        <v>768</v>
      </c>
      <c r="V355" s="79" t="s">
        <v>707</v>
      </c>
      <c r="W355" s="79" t="s">
        <v>769</v>
      </c>
      <c r="Y355" s="79" t="s">
        <v>1215</v>
      </c>
    </row>
    <row r="356" spans="2:25" ht="12.75" customHeight="1" x14ac:dyDescent="0.2">
      <c r="B356" s="143" t="s">
        <v>2707</v>
      </c>
      <c r="C356" s="143" t="s">
        <v>2707</v>
      </c>
      <c r="D356" s="143" t="s">
        <v>2706</v>
      </c>
      <c r="E356" s="107" t="str">
        <f t="shared" si="11"/>
        <v>WAPAKONETA, OH, 45819</v>
      </c>
      <c r="F356" s="143" t="s">
        <v>2706</v>
      </c>
      <c r="G356" s="143" t="s">
        <v>2708</v>
      </c>
      <c r="H356" s="143" t="s">
        <v>2775</v>
      </c>
      <c r="I356" s="143" t="s">
        <v>2794</v>
      </c>
      <c r="J356" s="143" t="s">
        <v>2709</v>
      </c>
      <c r="K356" s="143" t="s">
        <v>707</v>
      </c>
      <c r="L356" s="143" t="s">
        <v>2710</v>
      </c>
      <c r="N356" s="91">
        <f t="shared" si="12"/>
        <v>2</v>
      </c>
      <c r="O356" s="79" t="s">
        <v>1216</v>
      </c>
      <c r="P356" s="79" t="s">
        <v>1216</v>
      </c>
      <c r="Q356" s="79" t="s">
        <v>2603</v>
      </c>
      <c r="R356" s="79" t="s">
        <v>2767</v>
      </c>
      <c r="S356" s="79" t="s">
        <v>2842</v>
      </c>
      <c r="T356" s="79" t="s">
        <v>2604</v>
      </c>
      <c r="U356" s="79" t="s">
        <v>768</v>
      </c>
      <c r="V356" s="79" t="s">
        <v>707</v>
      </c>
      <c r="W356" s="79" t="s">
        <v>769</v>
      </c>
      <c r="Y356" s="79" t="s">
        <v>2603</v>
      </c>
    </row>
    <row r="357" spans="2:25" ht="12.75" customHeight="1" x14ac:dyDescent="0.2">
      <c r="B357" s="106" t="s">
        <v>1211</v>
      </c>
      <c r="C357" s="106" t="s">
        <v>1211</v>
      </c>
      <c r="D357" s="106" t="s">
        <v>1210</v>
      </c>
      <c r="E357" s="107" t="str">
        <f t="shared" si="11"/>
        <v>BUCYRUS, OH, 44820</v>
      </c>
      <c r="F357" s="106" t="s">
        <v>1210</v>
      </c>
      <c r="G357" s="106" t="s">
        <v>1212</v>
      </c>
      <c r="H357" s="106" t="s">
        <v>2767</v>
      </c>
      <c r="I357" s="106" t="s">
        <v>2841</v>
      </c>
      <c r="J357" s="106" t="s">
        <v>1213</v>
      </c>
      <c r="K357" s="106" t="s">
        <v>707</v>
      </c>
      <c r="L357" s="106" t="s">
        <v>1214</v>
      </c>
      <c r="N357" s="91">
        <f t="shared" si="12"/>
        <v>1</v>
      </c>
      <c r="O357" s="79" t="s">
        <v>726</v>
      </c>
      <c r="P357" s="79" t="s">
        <v>726</v>
      </c>
      <c r="Q357" s="79" t="s">
        <v>725</v>
      </c>
      <c r="R357" s="79" t="s">
        <v>2804</v>
      </c>
      <c r="S357" s="79" t="s">
        <v>2813</v>
      </c>
      <c r="T357" s="79" t="s">
        <v>727</v>
      </c>
      <c r="U357" s="79" t="s">
        <v>728</v>
      </c>
      <c r="V357" s="79" t="s">
        <v>707</v>
      </c>
      <c r="W357" s="79" t="s">
        <v>729</v>
      </c>
      <c r="Y357" s="79" t="s">
        <v>725</v>
      </c>
    </row>
    <row r="358" spans="2:25" ht="12.75" customHeight="1" x14ac:dyDescent="0.2">
      <c r="B358" s="106" t="s">
        <v>1211</v>
      </c>
      <c r="C358" s="106" t="s">
        <v>1211</v>
      </c>
      <c r="D358" s="106" t="s">
        <v>2602</v>
      </c>
      <c r="E358" s="107" t="str">
        <f t="shared" si="11"/>
        <v>BUCYRUS, OH, 44820</v>
      </c>
      <c r="F358" s="106" t="s">
        <v>2602</v>
      </c>
      <c r="G358" s="106" t="s">
        <v>1212</v>
      </c>
      <c r="H358" s="106" t="s">
        <v>2767</v>
      </c>
      <c r="I358" s="106" t="s">
        <v>2841</v>
      </c>
      <c r="J358" s="106" t="s">
        <v>1213</v>
      </c>
      <c r="K358" s="106" t="s">
        <v>707</v>
      </c>
      <c r="L358" s="106" t="s">
        <v>1214</v>
      </c>
      <c r="N358" s="91">
        <f t="shared" si="12"/>
        <v>1</v>
      </c>
      <c r="O358" s="79" t="s">
        <v>751</v>
      </c>
      <c r="P358" s="79" t="s">
        <v>751</v>
      </c>
      <c r="Q358" s="79" t="s">
        <v>750</v>
      </c>
      <c r="R358" s="79" t="s">
        <v>2791</v>
      </c>
      <c r="S358" s="79" t="s">
        <v>2824</v>
      </c>
      <c r="T358" s="79" t="s">
        <v>752</v>
      </c>
      <c r="U358" s="79" t="s">
        <v>753</v>
      </c>
      <c r="V358" s="79" t="s">
        <v>707</v>
      </c>
      <c r="W358" s="79" t="s">
        <v>754</v>
      </c>
      <c r="Y358" s="79" t="s">
        <v>750</v>
      </c>
    </row>
    <row r="359" spans="2:25" ht="12.75" customHeight="1" x14ac:dyDescent="0.2">
      <c r="B359" s="106" t="s">
        <v>1226</v>
      </c>
      <c r="C359" s="106" t="s">
        <v>1226</v>
      </c>
      <c r="D359" s="106" t="s">
        <v>1225</v>
      </c>
      <c r="E359" s="107" t="str">
        <f t="shared" si="11"/>
        <v>CAMBRIDGE, OH, 43725</v>
      </c>
      <c r="F359" s="106" t="s">
        <v>1225</v>
      </c>
      <c r="G359" s="106" t="s">
        <v>757</v>
      </c>
      <c r="H359" s="106" t="s">
        <v>2786</v>
      </c>
      <c r="I359" s="106" t="s">
        <v>2795</v>
      </c>
      <c r="J359" s="106" t="s">
        <v>758</v>
      </c>
      <c r="K359" s="106" t="s">
        <v>707</v>
      </c>
      <c r="L359" s="106" t="s">
        <v>759</v>
      </c>
      <c r="N359" s="91">
        <f t="shared" si="12"/>
        <v>1</v>
      </c>
      <c r="O359" s="79" t="s">
        <v>756</v>
      </c>
      <c r="P359" s="79" t="s">
        <v>756</v>
      </c>
      <c r="Q359" s="79" t="s">
        <v>755</v>
      </c>
      <c r="R359" s="79" t="s">
        <v>2786</v>
      </c>
      <c r="S359" s="79" t="s">
        <v>2795</v>
      </c>
      <c r="T359" s="79" t="s">
        <v>757</v>
      </c>
      <c r="U359" s="79" t="s">
        <v>758</v>
      </c>
      <c r="V359" s="79" t="s">
        <v>707</v>
      </c>
      <c r="W359" s="79" t="s">
        <v>759</v>
      </c>
      <c r="Y359" s="79" t="s">
        <v>755</v>
      </c>
    </row>
    <row r="360" spans="2:25" ht="12.75" customHeight="1" x14ac:dyDescent="0.2">
      <c r="B360" s="106" t="s">
        <v>1222</v>
      </c>
      <c r="C360" s="106" t="s">
        <v>1222</v>
      </c>
      <c r="D360" s="106" t="s">
        <v>1221</v>
      </c>
      <c r="E360" s="107" t="str">
        <f t="shared" si="11"/>
        <v>COSHOCTON, OH, 43812</v>
      </c>
      <c r="F360" s="106" t="s">
        <v>1221</v>
      </c>
      <c r="G360" s="106" t="s">
        <v>742</v>
      </c>
      <c r="H360" s="106" t="s">
        <v>2786</v>
      </c>
      <c r="I360" s="106" t="s">
        <v>2793</v>
      </c>
      <c r="J360" s="106" t="s">
        <v>743</v>
      </c>
      <c r="K360" s="106" t="s">
        <v>707</v>
      </c>
      <c r="L360" s="106" t="s">
        <v>744</v>
      </c>
      <c r="N360" s="91">
        <f t="shared" si="12"/>
        <v>1</v>
      </c>
      <c r="O360" s="79" t="s">
        <v>741</v>
      </c>
      <c r="P360" s="79" t="s">
        <v>741</v>
      </c>
      <c r="Q360" s="79" t="s">
        <v>740</v>
      </c>
      <c r="R360" s="79" t="s">
        <v>2786</v>
      </c>
      <c r="S360" s="79" t="s">
        <v>2793</v>
      </c>
      <c r="T360" s="79" t="s">
        <v>742</v>
      </c>
      <c r="U360" s="79" t="s">
        <v>743</v>
      </c>
      <c r="V360" s="79" t="s">
        <v>707</v>
      </c>
      <c r="W360" s="79" t="s">
        <v>744</v>
      </c>
      <c r="Y360" s="79" t="s">
        <v>740</v>
      </c>
    </row>
    <row r="361" spans="2:25" ht="12.75" customHeight="1" x14ac:dyDescent="0.2">
      <c r="B361" s="106" t="s">
        <v>1220</v>
      </c>
      <c r="C361" s="106" t="s">
        <v>1220</v>
      </c>
      <c r="D361" s="106" t="s">
        <v>1219</v>
      </c>
      <c r="E361" s="107" t="str">
        <f t="shared" si="11"/>
        <v>KENT, OH, 44240</v>
      </c>
      <c r="F361" s="106" t="s">
        <v>1219</v>
      </c>
      <c r="G361" s="106" t="s">
        <v>821</v>
      </c>
      <c r="H361" s="106" t="s">
        <v>2762</v>
      </c>
      <c r="I361" s="106" t="s">
        <v>2774</v>
      </c>
      <c r="J361" s="106" t="s">
        <v>822</v>
      </c>
      <c r="K361" s="106" t="s">
        <v>707</v>
      </c>
      <c r="L361" s="106" t="s">
        <v>823</v>
      </c>
      <c r="N361" s="91">
        <f t="shared" si="12"/>
        <v>1</v>
      </c>
      <c r="O361" s="79" t="s">
        <v>746</v>
      </c>
      <c r="P361" s="79" t="s">
        <v>746</v>
      </c>
      <c r="Q361" s="79" t="s">
        <v>745</v>
      </c>
      <c r="R361" s="79" t="s">
        <v>2791</v>
      </c>
      <c r="S361" s="79" t="s">
        <v>2809</v>
      </c>
      <c r="T361" s="79" t="s">
        <v>747</v>
      </c>
      <c r="U361" s="79" t="s">
        <v>748</v>
      </c>
      <c r="V361" s="79" t="s">
        <v>707</v>
      </c>
      <c r="W361" s="79" t="s">
        <v>749</v>
      </c>
      <c r="Y361" s="79" t="s">
        <v>745</v>
      </c>
    </row>
    <row r="362" spans="2:25" ht="12.75" customHeight="1" x14ac:dyDescent="0.2">
      <c r="B362" s="106" t="s">
        <v>1218</v>
      </c>
      <c r="C362" s="106" t="s">
        <v>1218</v>
      </c>
      <c r="D362" s="106" t="s">
        <v>1217</v>
      </c>
      <c r="E362" s="107" t="str">
        <f t="shared" si="11"/>
        <v>CANTON, OH, 44707</v>
      </c>
      <c r="F362" s="106" t="s">
        <v>1217</v>
      </c>
      <c r="G362" s="106" t="s">
        <v>774</v>
      </c>
      <c r="H362" s="106" t="s">
        <v>2762</v>
      </c>
      <c r="I362" s="106" t="s">
        <v>2766</v>
      </c>
      <c r="J362" s="106" t="s">
        <v>775</v>
      </c>
      <c r="K362" s="106" t="s">
        <v>707</v>
      </c>
      <c r="L362" s="106" t="s">
        <v>776</v>
      </c>
      <c r="N362" s="91">
        <f t="shared" si="12"/>
        <v>1</v>
      </c>
      <c r="O362" s="79" t="s">
        <v>736</v>
      </c>
      <c r="P362" s="79" t="s">
        <v>736</v>
      </c>
      <c r="Q362" s="79" t="s">
        <v>735</v>
      </c>
      <c r="R362" s="79" t="s">
        <v>2791</v>
      </c>
      <c r="S362" s="79" t="s">
        <v>2812</v>
      </c>
      <c r="T362" s="79" t="s">
        <v>737</v>
      </c>
      <c r="U362" s="79" t="s">
        <v>738</v>
      </c>
      <c r="V362" s="79" t="s">
        <v>707</v>
      </c>
      <c r="W362" s="79" t="s">
        <v>739</v>
      </c>
      <c r="Y362" s="79" t="s">
        <v>735</v>
      </c>
    </row>
    <row r="363" spans="2:25" ht="12.75" customHeight="1" x14ac:dyDescent="0.2">
      <c r="B363" s="106" t="s">
        <v>1224</v>
      </c>
      <c r="C363" s="106" t="s">
        <v>1224</v>
      </c>
      <c r="D363" s="106" t="s">
        <v>1223</v>
      </c>
      <c r="E363" s="107" t="str">
        <f t="shared" si="11"/>
        <v>CUYAHOGA HEIGHTS, OH, 44105</v>
      </c>
      <c r="F363" s="106" t="s">
        <v>1223</v>
      </c>
      <c r="G363" s="106" t="s">
        <v>891</v>
      </c>
      <c r="H363" s="106" t="s">
        <v>2759</v>
      </c>
      <c r="I363" s="106" t="s">
        <v>2760</v>
      </c>
      <c r="J363" s="106" t="s">
        <v>892</v>
      </c>
      <c r="K363" s="106" t="s">
        <v>707</v>
      </c>
      <c r="L363" s="106" t="s">
        <v>893</v>
      </c>
      <c r="N363" s="91">
        <f t="shared" si="12"/>
        <v>1</v>
      </c>
      <c r="O363" s="79" t="s">
        <v>731</v>
      </c>
      <c r="P363" s="79" t="s">
        <v>731</v>
      </c>
      <c r="Q363" s="79" t="s">
        <v>730</v>
      </c>
      <c r="R363" s="79" t="s">
        <v>2762</v>
      </c>
      <c r="S363" s="79" t="s">
        <v>2763</v>
      </c>
      <c r="T363" s="79" t="s">
        <v>732</v>
      </c>
      <c r="U363" s="79" t="s">
        <v>733</v>
      </c>
      <c r="V363" s="79" t="s">
        <v>707</v>
      </c>
      <c r="W363" s="79" t="s">
        <v>734</v>
      </c>
      <c r="Y363" s="79" t="s">
        <v>730</v>
      </c>
    </row>
    <row r="364" spans="2:25" ht="12.75" customHeight="1" x14ac:dyDescent="0.2">
      <c r="B364" s="106" t="s">
        <v>1216</v>
      </c>
      <c r="C364" s="106" t="s">
        <v>1216</v>
      </c>
      <c r="D364" s="106" t="s">
        <v>1215</v>
      </c>
      <c r="E364" s="107" t="str">
        <f t="shared" si="11"/>
        <v>WOOSTER, OH, 44691</v>
      </c>
      <c r="F364" s="106" t="s">
        <v>1215</v>
      </c>
      <c r="G364" s="106" t="s">
        <v>767</v>
      </c>
      <c r="H364" s="106" t="s">
        <v>2767</v>
      </c>
      <c r="I364" s="106" t="s">
        <v>2842</v>
      </c>
      <c r="J364" s="106" t="s">
        <v>768</v>
      </c>
      <c r="K364" s="106" t="s">
        <v>707</v>
      </c>
      <c r="L364" s="106" t="s">
        <v>769</v>
      </c>
      <c r="N364" s="91">
        <f t="shared" si="12"/>
        <v>1</v>
      </c>
      <c r="O364" s="79" t="s">
        <v>872</v>
      </c>
      <c r="P364" s="79" t="s">
        <v>872</v>
      </c>
      <c r="Q364" s="79" t="s">
        <v>871</v>
      </c>
      <c r="R364" s="79" t="s">
        <v>2804</v>
      </c>
      <c r="S364" s="79" t="s">
        <v>2813</v>
      </c>
      <c r="T364" s="79" t="s">
        <v>727</v>
      </c>
      <c r="U364" s="79" t="s">
        <v>728</v>
      </c>
      <c r="V364" s="79" t="s">
        <v>707</v>
      </c>
      <c r="W364" s="79" t="s">
        <v>729</v>
      </c>
      <c r="Y364" s="79" t="s">
        <v>871</v>
      </c>
    </row>
    <row r="365" spans="2:25" ht="12.75" customHeight="1" x14ac:dyDescent="0.2">
      <c r="B365" s="106" t="s">
        <v>1216</v>
      </c>
      <c r="C365" s="106" t="s">
        <v>1216</v>
      </c>
      <c r="D365" s="106" t="s">
        <v>2603</v>
      </c>
      <c r="E365" s="107" t="str">
        <f t="shared" si="11"/>
        <v>WOOSTER, OH, 44691</v>
      </c>
      <c r="F365" s="106" t="s">
        <v>2603</v>
      </c>
      <c r="G365" s="106" t="s">
        <v>2604</v>
      </c>
      <c r="H365" s="106" t="s">
        <v>2767</v>
      </c>
      <c r="I365" s="106" t="s">
        <v>2842</v>
      </c>
      <c r="J365" s="106" t="s">
        <v>768</v>
      </c>
      <c r="K365" s="106" t="s">
        <v>707</v>
      </c>
      <c r="L365" s="106" t="s">
        <v>769</v>
      </c>
      <c r="N365" s="91">
        <f t="shared" si="12"/>
        <v>1</v>
      </c>
      <c r="O365" s="79" t="s">
        <v>903</v>
      </c>
      <c r="P365" s="79" t="s">
        <v>903</v>
      </c>
      <c r="Q365" s="79" t="s">
        <v>902</v>
      </c>
      <c r="R365" s="79" t="s">
        <v>2791</v>
      </c>
      <c r="S365" s="79" t="s">
        <v>2824</v>
      </c>
      <c r="T365" s="79" t="s">
        <v>904</v>
      </c>
      <c r="U365" s="79" t="s">
        <v>753</v>
      </c>
      <c r="V365" s="79" t="s">
        <v>707</v>
      </c>
      <c r="W365" s="79" t="s">
        <v>754</v>
      </c>
      <c r="Y365" s="79" t="s">
        <v>902</v>
      </c>
    </row>
    <row r="366" spans="2:25" ht="12.75" customHeight="1" x14ac:dyDescent="0.2">
      <c r="B366" s="106" t="s">
        <v>726</v>
      </c>
      <c r="C366" s="106" t="s">
        <v>726</v>
      </c>
      <c r="D366" s="106" t="s">
        <v>725</v>
      </c>
      <c r="E366" s="107" t="str">
        <f t="shared" si="11"/>
        <v>CAREY, OH, 43316</v>
      </c>
      <c r="F366" s="106" t="s">
        <v>725</v>
      </c>
      <c r="G366" s="106" t="s">
        <v>727</v>
      </c>
      <c r="H366" s="106" t="s">
        <v>2804</v>
      </c>
      <c r="I366" s="106" t="s">
        <v>2813</v>
      </c>
      <c r="J366" s="106" t="s">
        <v>728</v>
      </c>
      <c r="K366" s="106" t="s">
        <v>707</v>
      </c>
      <c r="L366" s="106" t="s">
        <v>729</v>
      </c>
      <c r="N366" s="91">
        <f t="shared" si="12"/>
        <v>1</v>
      </c>
      <c r="O366" s="79" t="s">
        <v>906</v>
      </c>
      <c r="P366" s="79" t="s">
        <v>906</v>
      </c>
      <c r="Q366" s="79" t="s">
        <v>905</v>
      </c>
      <c r="R366" s="79" t="s">
        <v>2786</v>
      </c>
      <c r="S366" s="79" t="s">
        <v>2795</v>
      </c>
      <c r="T366" s="79" t="s">
        <v>757</v>
      </c>
      <c r="U366" s="79" t="s">
        <v>758</v>
      </c>
      <c r="V366" s="79" t="s">
        <v>707</v>
      </c>
      <c r="W366" s="79" t="s">
        <v>759</v>
      </c>
      <c r="Y366" s="79" t="s">
        <v>905</v>
      </c>
    </row>
    <row r="367" spans="2:25" ht="12.75" customHeight="1" x14ac:dyDescent="0.2">
      <c r="B367" s="106" t="s">
        <v>751</v>
      </c>
      <c r="C367" s="106" t="s">
        <v>751</v>
      </c>
      <c r="D367" s="106" t="s">
        <v>750</v>
      </c>
      <c r="E367" s="107" t="str">
        <f t="shared" si="11"/>
        <v>CADIZ, OH, 43907</v>
      </c>
      <c r="F367" s="106" t="s">
        <v>750</v>
      </c>
      <c r="G367" s="106" t="s">
        <v>752</v>
      </c>
      <c r="H367" s="106" t="s">
        <v>2791</v>
      </c>
      <c r="I367" s="106" t="s">
        <v>2824</v>
      </c>
      <c r="J367" s="106" t="s">
        <v>753</v>
      </c>
      <c r="K367" s="106" t="s">
        <v>707</v>
      </c>
      <c r="L367" s="106" t="s">
        <v>754</v>
      </c>
      <c r="N367" s="91">
        <f t="shared" si="12"/>
        <v>1</v>
      </c>
      <c r="O367" s="79" t="s">
        <v>890</v>
      </c>
      <c r="P367" s="79" t="s">
        <v>890</v>
      </c>
      <c r="Q367" s="79" t="s">
        <v>889</v>
      </c>
      <c r="R367" s="79" t="s">
        <v>2759</v>
      </c>
      <c r="S367" s="79" t="s">
        <v>2760</v>
      </c>
      <c r="T367" s="79" t="s">
        <v>891</v>
      </c>
      <c r="U367" s="79" t="s">
        <v>892</v>
      </c>
      <c r="V367" s="79" t="s">
        <v>707</v>
      </c>
      <c r="W367" s="79" t="s">
        <v>893</v>
      </c>
      <c r="Y367" s="79" t="s">
        <v>889</v>
      </c>
    </row>
    <row r="368" spans="2:25" ht="12.75" customHeight="1" x14ac:dyDescent="0.2">
      <c r="B368" s="106" t="s">
        <v>756</v>
      </c>
      <c r="C368" s="106" t="s">
        <v>756</v>
      </c>
      <c r="D368" s="106" t="s">
        <v>755</v>
      </c>
      <c r="E368" s="107" t="str">
        <f t="shared" si="11"/>
        <v>CAMBRIDGE, OH, 43725</v>
      </c>
      <c r="F368" s="106" t="s">
        <v>755</v>
      </c>
      <c r="G368" s="106" t="s">
        <v>757</v>
      </c>
      <c r="H368" s="106" t="s">
        <v>2786</v>
      </c>
      <c r="I368" s="106" t="s">
        <v>2795</v>
      </c>
      <c r="J368" s="106" t="s">
        <v>758</v>
      </c>
      <c r="K368" s="106" t="s">
        <v>707</v>
      </c>
      <c r="L368" s="106" t="s">
        <v>759</v>
      </c>
      <c r="N368" s="91">
        <f t="shared" si="12"/>
        <v>1</v>
      </c>
      <c r="O368" s="79" t="s">
        <v>888</v>
      </c>
      <c r="P368" s="79" t="s">
        <v>888</v>
      </c>
      <c r="Q368" s="79" t="s">
        <v>887</v>
      </c>
      <c r="R368" s="79" t="s">
        <v>2786</v>
      </c>
      <c r="S368" s="79" t="s">
        <v>2793</v>
      </c>
      <c r="T368" s="79" t="s">
        <v>742</v>
      </c>
      <c r="U368" s="79" t="s">
        <v>743</v>
      </c>
      <c r="V368" s="79" t="s">
        <v>707</v>
      </c>
      <c r="W368" s="79" t="s">
        <v>744</v>
      </c>
      <c r="Y368" s="79" t="s">
        <v>887</v>
      </c>
    </row>
    <row r="369" spans="2:25" ht="12.75" customHeight="1" x14ac:dyDescent="0.2">
      <c r="B369" s="106" t="s">
        <v>741</v>
      </c>
      <c r="C369" s="106" t="s">
        <v>741</v>
      </c>
      <c r="D369" s="106" t="s">
        <v>740</v>
      </c>
      <c r="E369" s="107" t="str">
        <f t="shared" si="11"/>
        <v>COSHOCTON, OH, 43812</v>
      </c>
      <c r="F369" s="106" t="s">
        <v>740</v>
      </c>
      <c r="G369" s="106" t="s">
        <v>742</v>
      </c>
      <c r="H369" s="106" t="s">
        <v>2786</v>
      </c>
      <c r="I369" s="106" t="s">
        <v>2793</v>
      </c>
      <c r="J369" s="106" t="s">
        <v>743</v>
      </c>
      <c r="K369" s="106" t="s">
        <v>707</v>
      </c>
      <c r="L369" s="106" t="s">
        <v>744</v>
      </c>
      <c r="N369" s="91">
        <f t="shared" si="12"/>
        <v>1</v>
      </c>
      <c r="O369" s="79" t="s">
        <v>895</v>
      </c>
      <c r="P369" s="79" t="s">
        <v>895</v>
      </c>
      <c r="Q369" s="79" t="s">
        <v>894</v>
      </c>
      <c r="R369" s="79" t="s">
        <v>2762</v>
      </c>
      <c r="S369" s="79" t="s">
        <v>2764</v>
      </c>
      <c r="T369" s="79" t="s">
        <v>896</v>
      </c>
      <c r="U369" s="79" t="s">
        <v>897</v>
      </c>
      <c r="V369" s="79" t="s">
        <v>898</v>
      </c>
      <c r="W369" s="79" t="s">
        <v>899</v>
      </c>
      <c r="Y369" s="79" t="s">
        <v>894</v>
      </c>
    </row>
    <row r="370" spans="2:25" ht="12.75" customHeight="1" x14ac:dyDescent="0.2">
      <c r="B370" s="106" t="s">
        <v>746</v>
      </c>
      <c r="C370" s="106" t="s">
        <v>746</v>
      </c>
      <c r="D370" s="106" t="s">
        <v>745</v>
      </c>
      <c r="E370" s="107" t="str">
        <f t="shared" si="11"/>
        <v>MARTINS FERRY, OH, 43935</v>
      </c>
      <c r="F370" s="106" t="s">
        <v>745</v>
      </c>
      <c r="G370" s="106" t="s">
        <v>747</v>
      </c>
      <c r="H370" s="106" t="s">
        <v>2791</v>
      </c>
      <c r="I370" s="106" t="s">
        <v>2809</v>
      </c>
      <c r="J370" s="106" t="s">
        <v>748</v>
      </c>
      <c r="K370" s="106" t="s">
        <v>707</v>
      </c>
      <c r="L370" s="106" t="s">
        <v>749</v>
      </c>
      <c r="N370" s="91">
        <f t="shared" si="12"/>
        <v>1</v>
      </c>
      <c r="O370" s="79" t="s">
        <v>901</v>
      </c>
      <c r="P370" s="79" t="s">
        <v>901</v>
      </c>
      <c r="Q370" s="79" t="s">
        <v>900</v>
      </c>
      <c r="R370" s="79" t="s">
        <v>2791</v>
      </c>
      <c r="S370" s="79" t="s">
        <v>2809</v>
      </c>
      <c r="T370" s="79" t="s">
        <v>747</v>
      </c>
      <c r="U370" s="79" t="s">
        <v>748</v>
      </c>
      <c r="V370" s="79" t="s">
        <v>707</v>
      </c>
      <c r="W370" s="79" t="s">
        <v>749</v>
      </c>
      <c r="Y370" s="79" t="s">
        <v>900</v>
      </c>
    </row>
    <row r="371" spans="2:25" ht="12.75" customHeight="1" x14ac:dyDescent="0.2">
      <c r="B371" s="106" t="s">
        <v>736</v>
      </c>
      <c r="C371" s="106" t="s">
        <v>736</v>
      </c>
      <c r="D371" s="106" t="s">
        <v>735</v>
      </c>
      <c r="E371" s="107" t="str">
        <f t="shared" si="11"/>
        <v>NEW PHILADELPHIA, OH, 44663</v>
      </c>
      <c r="F371" s="106" t="s">
        <v>735</v>
      </c>
      <c r="G371" s="106" t="s">
        <v>737</v>
      </c>
      <c r="H371" s="106" t="s">
        <v>2791</v>
      </c>
      <c r="I371" s="106" t="s">
        <v>2812</v>
      </c>
      <c r="J371" s="106" t="s">
        <v>738</v>
      </c>
      <c r="K371" s="106" t="s">
        <v>707</v>
      </c>
      <c r="L371" s="106" t="s">
        <v>739</v>
      </c>
      <c r="N371" s="91">
        <f t="shared" si="12"/>
        <v>1</v>
      </c>
      <c r="O371" s="79" t="s">
        <v>883</v>
      </c>
      <c r="P371" s="79" t="s">
        <v>883</v>
      </c>
      <c r="Q371" s="79" t="s">
        <v>882</v>
      </c>
      <c r="R371" s="79" t="s">
        <v>2762</v>
      </c>
      <c r="S371" s="79" t="s">
        <v>2766</v>
      </c>
      <c r="T371" s="79" t="s">
        <v>884</v>
      </c>
      <c r="U371" s="79" t="s">
        <v>885</v>
      </c>
      <c r="V371" s="79" t="s">
        <v>707</v>
      </c>
      <c r="W371" s="79" t="s">
        <v>886</v>
      </c>
      <c r="Y371" s="79" t="s">
        <v>882</v>
      </c>
    </row>
    <row r="372" spans="2:25" ht="12.75" customHeight="1" x14ac:dyDescent="0.2">
      <c r="B372" s="106" t="s">
        <v>731</v>
      </c>
      <c r="C372" s="106" t="s">
        <v>731</v>
      </c>
      <c r="D372" s="106" t="s">
        <v>730</v>
      </c>
      <c r="E372" s="107" t="str">
        <f t="shared" si="11"/>
        <v>AKRON, OH, 44309</v>
      </c>
      <c r="F372" s="106" t="s">
        <v>730</v>
      </c>
      <c r="G372" s="106" t="s">
        <v>732</v>
      </c>
      <c r="H372" s="106" t="s">
        <v>2762</v>
      </c>
      <c r="I372" s="106" t="s">
        <v>2763</v>
      </c>
      <c r="J372" s="106" t="s">
        <v>733</v>
      </c>
      <c r="K372" s="106" t="s">
        <v>707</v>
      </c>
      <c r="L372" s="106" t="s">
        <v>3060</v>
      </c>
      <c r="N372" s="91">
        <f t="shared" si="12"/>
        <v>1</v>
      </c>
      <c r="O372" s="79" t="s">
        <v>881</v>
      </c>
      <c r="P372" s="79" t="s">
        <v>881</v>
      </c>
      <c r="Q372" s="79" t="s">
        <v>880</v>
      </c>
      <c r="R372" s="79" t="s">
        <v>2791</v>
      </c>
      <c r="S372" s="79" t="s">
        <v>2812</v>
      </c>
      <c r="T372" s="79" t="s">
        <v>737</v>
      </c>
      <c r="U372" s="79" t="s">
        <v>738</v>
      </c>
      <c r="V372" s="79" t="s">
        <v>707</v>
      </c>
      <c r="W372" s="79" t="s">
        <v>739</v>
      </c>
      <c r="Y372" s="79" t="s">
        <v>880</v>
      </c>
    </row>
    <row r="373" spans="2:25" ht="12.75" customHeight="1" x14ac:dyDescent="0.2">
      <c r="B373" s="106" t="s">
        <v>872</v>
      </c>
      <c r="C373" s="106" t="s">
        <v>872</v>
      </c>
      <c r="D373" s="106" t="s">
        <v>871</v>
      </c>
      <c r="E373" s="107" t="str">
        <f t="shared" si="11"/>
        <v>CAREY, OH, 43316</v>
      </c>
      <c r="F373" s="106" t="s">
        <v>871</v>
      </c>
      <c r="G373" s="106" t="s">
        <v>727</v>
      </c>
      <c r="H373" s="106" t="s">
        <v>2804</v>
      </c>
      <c r="I373" s="106" t="s">
        <v>2813</v>
      </c>
      <c r="J373" s="106" t="s">
        <v>728</v>
      </c>
      <c r="K373" s="106" t="s">
        <v>707</v>
      </c>
      <c r="L373" s="106" t="s">
        <v>729</v>
      </c>
      <c r="N373" s="91">
        <f t="shared" si="12"/>
        <v>1</v>
      </c>
      <c r="O373" s="79" t="s">
        <v>874</v>
      </c>
      <c r="P373" s="79" t="s">
        <v>874</v>
      </c>
      <c r="Q373" s="79" t="s">
        <v>873</v>
      </c>
      <c r="R373" s="79" t="s">
        <v>2767</v>
      </c>
      <c r="S373" s="79" t="s">
        <v>2842</v>
      </c>
      <c r="T373" s="79" t="s">
        <v>767</v>
      </c>
      <c r="U373" s="79" t="s">
        <v>768</v>
      </c>
      <c r="V373" s="79" t="s">
        <v>707</v>
      </c>
      <c r="W373" s="79" t="s">
        <v>769</v>
      </c>
      <c r="Y373" s="79" t="s">
        <v>873</v>
      </c>
    </row>
    <row r="374" spans="2:25" ht="12.75" customHeight="1" x14ac:dyDescent="0.2">
      <c r="B374" s="106" t="s">
        <v>903</v>
      </c>
      <c r="C374" s="106" t="s">
        <v>903</v>
      </c>
      <c r="D374" s="106" t="s">
        <v>902</v>
      </c>
      <c r="E374" s="107" t="str">
        <f t="shared" si="11"/>
        <v>CADIZ, OH, 43907</v>
      </c>
      <c r="F374" s="106" t="s">
        <v>902</v>
      </c>
      <c r="G374" s="106" t="s">
        <v>904</v>
      </c>
      <c r="H374" s="106" t="s">
        <v>2791</v>
      </c>
      <c r="I374" s="106" t="s">
        <v>2824</v>
      </c>
      <c r="J374" s="106" t="s">
        <v>753</v>
      </c>
      <c r="K374" s="106" t="s">
        <v>707</v>
      </c>
      <c r="L374" s="106" t="s">
        <v>754</v>
      </c>
      <c r="N374" s="91">
        <f t="shared" si="12"/>
        <v>1</v>
      </c>
      <c r="O374" s="79" t="s">
        <v>876</v>
      </c>
      <c r="P374" s="79" t="s">
        <v>876</v>
      </c>
      <c r="Q374" s="79" t="s">
        <v>875</v>
      </c>
      <c r="R374" s="79" t="s">
        <v>2762</v>
      </c>
      <c r="S374" s="79" t="s">
        <v>2763</v>
      </c>
      <c r="T374" s="79" t="s">
        <v>732</v>
      </c>
      <c r="U374" s="79" t="s">
        <v>733</v>
      </c>
      <c r="V374" s="79" t="s">
        <v>707</v>
      </c>
      <c r="W374" s="79" t="s">
        <v>877</v>
      </c>
      <c r="Y374" s="79" t="s">
        <v>875</v>
      </c>
    </row>
    <row r="375" spans="2:25" ht="12.75" customHeight="1" x14ac:dyDescent="0.2">
      <c r="B375" s="106" t="s">
        <v>906</v>
      </c>
      <c r="C375" s="106" t="s">
        <v>906</v>
      </c>
      <c r="D375" s="106" t="s">
        <v>905</v>
      </c>
      <c r="E375" s="107" t="str">
        <f t="shared" si="11"/>
        <v>CAMBRIDGE, OH, 43725</v>
      </c>
      <c r="F375" s="106" t="s">
        <v>905</v>
      </c>
      <c r="G375" s="106" t="s">
        <v>757</v>
      </c>
      <c r="H375" s="106" t="s">
        <v>2786</v>
      </c>
      <c r="I375" s="106" t="s">
        <v>2795</v>
      </c>
      <c r="J375" s="106" t="s">
        <v>758</v>
      </c>
      <c r="K375" s="106" t="s">
        <v>707</v>
      </c>
      <c r="L375" s="106" t="s">
        <v>759</v>
      </c>
      <c r="N375" s="91">
        <f t="shared" si="12"/>
        <v>1</v>
      </c>
      <c r="O375" s="79" t="s">
        <v>879</v>
      </c>
      <c r="P375" s="79" t="s">
        <v>879</v>
      </c>
      <c r="Q375" s="79" t="s">
        <v>878</v>
      </c>
      <c r="R375" s="79" t="s">
        <v>2762</v>
      </c>
      <c r="S375" s="79" t="s">
        <v>2766</v>
      </c>
      <c r="T375" s="79" t="s">
        <v>774</v>
      </c>
      <c r="U375" s="79" t="s">
        <v>775</v>
      </c>
      <c r="V375" s="79" t="s">
        <v>707</v>
      </c>
      <c r="W375" s="79" t="s">
        <v>776</v>
      </c>
      <c r="Y375" s="79" t="s">
        <v>878</v>
      </c>
    </row>
    <row r="376" spans="2:25" ht="12.75" customHeight="1" x14ac:dyDescent="0.2">
      <c r="B376" s="106" t="s">
        <v>890</v>
      </c>
      <c r="C376" s="106" t="s">
        <v>890</v>
      </c>
      <c r="D376" s="106" t="s">
        <v>889</v>
      </c>
      <c r="E376" s="107" t="str">
        <f t="shared" si="11"/>
        <v>CUYAHOGA HEIGHTS, OH, 44105</v>
      </c>
      <c r="F376" s="106" t="s">
        <v>889</v>
      </c>
      <c r="G376" s="106" t="s">
        <v>891</v>
      </c>
      <c r="H376" s="106" t="s">
        <v>2759</v>
      </c>
      <c r="I376" s="106" t="s">
        <v>2760</v>
      </c>
      <c r="J376" s="106" t="s">
        <v>892</v>
      </c>
      <c r="K376" s="106" t="s">
        <v>707</v>
      </c>
      <c r="L376" s="106" t="s">
        <v>893</v>
      </c>
      <c r="N376" s="91">
        <f t="shared" si="12"/>
        <v>1</v>
      </c>
      <c r="O376" s="79" t="s">
        <v>908</v>
      </c>
      <c r="P376" s="79" t="s">
        <v>908</v>
      </c>
      <c r="Q376" s="79" t="s">
        <v>907</v>
      </c>
      <c r="R376" s="79" t="s">
        <v>2782</v>
      </c>
      <c r="S376" s="79" t="s">
        <v>2792</v>
      </c>
      <c r="T376" s="79" t="s">
        <v>909</v>
      </c>
      <c r="U376" s="79" t="s">
        <v>910</v>
      </c>
      <c r="V376" s="79" t="s">
        <v>707</v>
      </c>
      <c r="W376" s="79" t="s">
        <v>911</v>
      </c>
      <c r="Y376" s="79" t="s">
        <v>907</v>
      </c>
    </row>
    <row r="377" spans="2:25" ht="12.75" customHeight="1" x14ac:dyDescent="0.2">
      <c r="B377" s="106" t="s">
        <v>888</v>
      </c>
      <c r="C377" s="106" t="s">
        <v>888</v>
      </c>
      <c r="D377" s="106" t="s">
        <v>887</v>
      </c>
      <c r="E377" s="107" t="str">
        <f t="shared" si="11"/>
        <v>COSHOCTON, OH, 43812</v>
      </c>
      <c r="F377" s="106" t="s">
        <v>887</v>
      </c>
      <c r="G377" s="106" t="s">
        <v>742</v>
      </c>
      <c r="H377" s="106" t="s">
        <v>2786</v>
      </c>
      <c r="I377" s="106" t="s">
        <v>2793</v>
      </c>
      <c r="J377" s="106" t="s">
        <v>743</v>
      </c>
      <c r="K377" s="106" t="s">
        <v>707</v>
      </c>
      <c r="L377" s="106" t="s">
        <v>744</v>
      </c>
      <c r="N377" s="91">
        <f t="shared" si="12"/>
        <v>1</v>
      </c>
      <c r="O377" s="79" t="s">
        <v>1657</v>
      </c>
      <c r="P377" s="79" t="s">
        <v>1657</v>
      </c>
      <c r="Q377" s="79" t="s">
        <v>1656</v>
      </c>
      <c r="R377" s="79" t="s">
        <v>2834</v>
      </c>
      <c r="S377" s="79" t="s">
        <v>2843</v>
      </c>
      <c r="T377" s="79" t="s">
        <v>1658</v>
      </c>
      <c r="U377" s="79" t="s">
        <v>1659</v>
      </c>
      <c r="V377" s="79" t="s">
        <v>707</v>
      </c>
      <c r="W377" s="79" t="s">
        <v>1660</v>
      </c>
      <c r="Y377" s="79" t="s">
        <v>1656</v>
      </c>
    </row>
    <row r="378" spans="2:25" ht="12.75" customHeight="1" x14ac:dyDescent="0.2">
      <c r="B378" s="106" t="s">
        <v>895</v>
      </c>
      <c r="C378" s="106" t="s">
        <v>895</v>
      </c>
      <c r="D378" s="106" t="s">
        <v>894</v>
      </c>
      <c r="E378" s="107" t="str">
        <f t="shared" si="11"/>
        <v>ERIE, PA, 16505</v>
      </c>
      <c r="F378" s="106" t="s">
        <v>894</v>
      </c>
      <c r="G378" s="106" t="s">
        <v>896</v>
      </c>
      <c r="H378" s="106" t="s">
        <v>2762</v>
      </c>
      <c r="I378" s="106" t="s">
        <v>2764</v>
      </c>
      <c r="J378" s="106" t="s">
        <v>897</v>
      </c>
      <c r="K378" s="106" t="s">
        <v>898</v>
      </c>
      <c r="L378" s="106" t="s">
        <v>899</v>
      </c>
      <c r="N378" s="91">
        <f t="shared" si="12"/>
        <v>1</v>
      </c>
      <c r="O378" s="79" t="s">
        <v>1616</v>
      </c>
      <c r="P378" s="79" t="s">
        <v>1616</v>
      </c>
      <c r="Q378" s="79" t="s">
        <v>1615</v>
      </c>
      <c r="R378" s="79" t="s">
        <v>2834</v>
      </c>
      <c r="S378" s="79" t="s">
        <v>2844</v>
      </c>
      <c r="T378" s="79" t="s">
        <v>1617</v>
      </c>
      <c r="U378" s="79" t="s">
        <v>1618</v>
      </c>
      <c r="V378" s="79" t="s">
        <v>707</v>
      </c>
      <c r="W378" s="79" t="s">
        <v>1619</v>
      </c>
      <c r="Y378" s="79" t="s">
        <v>1615</v>
      </c>
    </row>
    <row r="379" spans="2:25" ht="12.75" customHeight="1" x14ac:dyDescent="0.2">
      <c r="B379" s="106" t="s">
        <v>901</v>
      </c>
      <c r="C379" s="106" t="s">
        <v>901</v>
      </c>
      <c r="D379" s="106" t="s">
        <v>900</v>
      </c>
      <c r="E379" s="107" t="str">
        <f t="shared" si="11"/>
        <v>MARTINS FERRY, OH, 43935</v>
      </c>
      <c r="F379" s="106" t="s">
        <v>900</v>
      </c>
      <c r="G379" s="106" t="s">
        <v>747</v>
      </c>
      <c r="H379" s="106" t="s">
        <v>2791</v>
      </c>
      <c r="I379" s="106" t="s">
        <v>2809</v>
      </c>
      <c r="J379" s="106" t="s">
        <v>748</v>
      </c>
      <c r="K379" s="106" t="s">
        <v>707</v>
      </c>
      <c r="L379" s="106" t="s">
        <v>749</v>
      </c>
      <c r="N379" s="91">
        <f t="shared" si="12"/>
        <v>2</v>
      </c>
      <c r="O379" s="79" t="s">
        <v>1616</v>
      </c>
      <c r="P379" s="79" t="s">
        <v>1616</v>
      </c>
      <c r="Q379" s="79" t="s">
        <v>2687</v>
      </c>
      <c r="R379" s="79" t="s">
        <v>2834</v>
      </c>
      <c r="S379" s="79" t="s">
        <v>2844</v>
      </c>
      <c r="T379" s="79" t="s">
        <v>2688</v>
      </c>
      <c r="U379" s="79" t="s">
        <v>1618</v>
      </c>
      <c r="V379" s="79" t="s">
        <v>707</v>
      </c>
      <c r="W379" s="79" t="s">
        <v>1619</v>
      </c>
      <c r="Y379" s="79" t="s">
        <v>2687</v>
      </c>
    </row>
    <row r="380" spans="2:25" ht="12.75" customHeight="1" x14ac:dyDescent="0.2">
      <c r="B380" s="106" t="s">
        <v>883</v>
      </c>
      <c r="C380" s="106" t="s">
        <v>883</v>
      </c>
      <c r="D380" s="106" t="s">
        <v>882</v>
      </c>
      <c r="E380" s="107" t="str">
        <f t="shared" si="11"/>
        <v>MASSILLON, OH, 44646</v>
      </c>
      <c r="F380" s="106" t="s">
        <v>882</v>
      </c>
      <c r="G380" s="106" t="s">
        <v>884</v>
      </c>
      <c r="H380" s="106" t="s">
        <v>2762</v>
      </c>
      <c r="I380" s="106" t="s">
        <v>2766</v>
      </c>
      <c r="J380" s="106" t="s">
        <v>885</v>
      </c>
      <c r="K380" s="106" t="s">
        <v>707</v>
      </c>
      <c r="L380" s="106" t="s">
        <v>886</v>
      </c>
      <c r="N380" s="91">
        <f t="shared" si="12"/>
        <v>1</v>
      </c>
      <c r="O380" s="79" t="s">
        <v>1625</v>
      </c>
      <c r="P380" s="79" t="s">
        <v>1625</v>
      </c>
      <c r="Q380" s="79" t="s">
        <v>1624</v>
      </c>
      <c r="R380" s="79" t="s">
        <v>2786</v>
      </c>
      <c r="S380" s="79" t="s">
        <v>2795</v>
      </c>
      <c r="T380" s="79" t="s">
        <v>757</v>
      </c>
      <c r="U380" s="79" t="s">
        <v>758</v>
      </c>
      <c r="V380" s="79" t="s">
        <v>707</v>
      </c>
      <c r="W380" s="79" t="s">
        <v>759</v>
      </c>
      <c r="Y380" s="79" t="s">
        <v>1624</v>
      </c>
    </row>
    <row r="381" spans="2:25" ht="12.75" customHeight="1" x14ac:dyDescent="0.2">
      <c r="B381" s="106" t="s">
        <v>881</v>
      </c>
      <c r="C381" s="106" t="s">
        <v>881</v>
      </c>
      <c r="D381" s="106" t="s">
        <v>880</v>
      </c>
      <c r="E381" s="107" t="str">
        <f t="shared" si="11"/>
        <v>NEW PHILADELPHIA, OH, 44663</v>
      </c>
      <c r="F381" s="106" t="s">
        <v>880</v>
      </c>
      <c r="G381" s="106" t="s">
        <v>737</v>
      </c>
      <c r="H381" s="106" t="s">
        <v>2791</v>
      </c>
      <c r="I381" s="106" t="s">
        <v>2812</v>
      </c>
      <c r="J381" s="106" t="s">
        <v>738</v>
      </c>
      <c r="K381" s="106" t="s">
        <v>707</v>
      </c>
      <c r="L381" s="106" t="s">
        <v>739</v>
      </c>
      <c r="N381" s="91">
        <f t="shared" si="12"/>
        <v>1</v>
      </c>
      <c r="O381" s="79" t="s">
        <v>1621</v>
      </c>
      <c r="P381" s="79" t="s">
        <v>1621</v>
      </c>
      <c r="Q381" s="79" t="s">
        <v>1620</v>
      </c>
      <c r="R381" s="79" t="s">
        <v>2762</v>
      </c>
      <c r="S381" s="79" t="s">
        <v>2766</v>
      </c>
      <c r="T381" s="79" t="s">
        <v>774</v>
      </c>
      <c r="U381" s="79" t="s">
        <v>775</v>
      </c>
      <c r="V381" s="79" t="s">
        <v>707</v>
      </c>
      <c r="W381" s="79" t="s">
        <v>776</v>
      </c>
      <c r="Y381" s="79" t="s">
        <v>1620</v>
      </c>
    </row>
    <row r="382" spans="2:25" ht="12.75" customHeight="1" x14ac:dyDescent="0.2">
      <c r="B382" s="106" t="s">
        <v>874</v>
      </c>
      <c r="C382" s="106" t="s">
        <v>874</v>
      </c>
      <c r="D382" s="106" t="s">
        <v>873</v>
      </c>
      <c r="E382" s="107" t="str">
        <f t="shared" si="11"/>
        <v>WOOSTER, OH, 44691</v>
      </c>
      <c r="F382" s="106" t="s">
        <v>873</v>
      </c>
      <c r="G382" s="106" t="s">
        <v>767</v>
      </c>
      <c r="H382" s="106" t="s">
        <v>2767</v>
      </c>
      <c r="I382" s="106" t="s">
        <v>2842</v>
      </c>
      <c r="J382" s="106" t="s">
        <v>768</v>
      </c>
      <c r="K382" s="106" t="s">
        <v>707</v>
      </c>
      <c r="L382" s="106" t="s">
        <v>769</v>
      </c>
      <c r="N382" s="91">
        <f t="shared" si="12"/>
        <v>1</v>
      </c>
      <c r="O382" s="79" t="s">
        <v>1623</v>
      </c>
      <c r="P382" s="79" t="s">
        <v>1623</v>
      </c>
      <c r="Q382" s="79" t="s">
        <v>1622</v>
      </c>
      <c r="R382" s="79" t="s">
        <v>2759</v>
      </c>
      <c r="S382" s="79" t="s">
        <v>2760</v>
      </c>
      <c r="T382" s="79" t="s">
        <v>891</v>
      </c>
      <c r="U382" s="79" t="s">
        <v>892</v>
      </c>
      <c r="V382" s="79" t="s">
        <v>707</v>
      </c>
      <c r="W382" s="79" t="s">
        <v>893</v>
      </c>
      <c r="Y382" s="79" t="s">
        <v>1622</v>
      </c>
    </row>
    <row r="383" spans="2:25" ht="12.75" customHeight="1" x14ac:dyDescent="0.2">
      <c r="B383" s="106" t="s">
        <v>876</v>
      </c>
      <c r="C383" s="106" t="s">
        <v>876</v>
      </c>
      <c r="D383" s="106" t="s">
        <v>875</v>
      </c>
      <c r="E383" s="107" t="str">
        <f t="shared" si="11"/>
        <v>AKRON, OH, 44309</v>
      </c>
      <c r="F383" s="106" t="s">
        <v>875</v>
      </c>
      <c r="G383" s="106" t="s">
        <v>732</v>
      </c>
      <c r="H383" s="106" t="s">
        <v>2762</v>
      </c>
      <c r="I383" s="106" t="s">
        <v>2763</v>
      </c>
      <c r="J383" s="106" t="s">
        <v>733</v>
      </c>
      <c r="K383" s="106" t="s">
        <v>707</v>
      </c>
      <c r="L383" s="106" t="s">
        <v>3060</v>
      </c>
      <c r="N383" s="91">
        <f t="shared" si="12"/>
        <v>1</v>
      </c>
      <c r="O383" s="79" t="s">
        <v>798</v>
      </c>
      <c r="P383" s="79" t="s">
        <v>798</v>
      </c>
      <c r="Q383" s="79" t="s">
        <v>797</v>
      </c>
      <c r="R383" s="79" t="s">
        <v>2804</v>
      </c>
      <c r="S383" s="79" t="s">
        <v>2845</v>
      </c>
      <c r="T383" s="79" t="s">
        <v>799</v>
      </c>
      <c r="U383" s="79" t="s">
        <v>800</v>
      </c>
      <c r="V383" s="79" t="s">
        <v>707</v>
      </c>
      <c r="W383" s="79" t="s">
        <v>801</v>
      </c>
      <c r="Y383" s="79" t="s">
        <v>797</v>
      </c>
    </row>
    <row r="384" spans="2:25" ht="12.75" customHeight="1" x14ac:dyDescent="0.2">
      <c r="B384" s="106" t="s">
        <v>879</v>
      </c>
      <c r="C384" s="106" t="s">
        <v>879</v>
      </c>
      <c r="D384" s="106" t="s">
        <v>878</v>
      </c>
      <c r="E384" s="107" t="str">
        <f t="shared" si="11"/>
        <v>CANTON, OH, 44707</v>
      </c>
      <c r="F384" s="106" t="s">
        <v>878</v>
      </c>
      <c r="G384" s="106" t="s">
        <v>774</v>
      </c>
      <c r="H384" s="106" t="s">
        <v>2762</v>
      </c>
      <c r="I384" s="106" t="s">
        <v>2766</v>
      </c>
      <c r="J384" s="106" t="s">
        <v>775</v>
      </c>
      <c r="K384" s="106" t="s">
        <v>707</v>
      </c>
      <c r="L384" s="106" t="s">
        <v>776</v>
      </c>
      <c r="N384" s="91">
        <f t="shared" si="12"/>
        <v>1</v>
      </c>
      <c r="O384" s="79" t="s">
        <v>761</v>
      </c>
      <c r="P384" s="79" t="s">
        <v>761</v>
      </c>
      <c r="Q384" s="79" t="s">
        <v>760</v>
      </c>
      <c r="R384" s="79" t="s">
        <v>2804</v>
      </c>
      <c r="S384" s="79" t="s">
        <v>2846</v>
      </c>
      <c r="T384" s="79" t="s">
        <v>762</v>
      </c>
      <c r="U384" s="79" t="s">
        <v>763</v>
      </c>
      <c r="V384" s="79" t="s">
        <v>707</v>
      </c>
      <c r="W384" s="79" t="s">
        <v>764</v>
      </c>
      <c r="Y384" s="79" t="s">
        <v>760</v>
      </c>
    </row>
    <row r="385" spans="2:25" ht="12.75" customHeight="1" x14ac:dyDescent="0.2">
      <c r="B385" s="106" t="s">
        <v>908</v>
      </c>
      <c r="C385" s="106" t="s">
        <v>908</v>
      </c>
      <c r="D385" s="106" t="s">
        <v>907</v>
      </c>
      <c r="E385" s="107" t="str">
        <f t="shared" si="11"/>
        <v>SARDIS, OH, 43946</v>
      </c>
      <c r="F385" s="106" t="s">
        <v>907</v>
      </c>
      <c r="G385" s="106" t="s">
        <v>909</v>
      </c>
      <c r="H385" s="106" t="s">
        <v>2782</v>
      </c>
      <c r="I385" s="106" t="s">
        <v>2792</v>
      </c>
      <c r="J385" s="106" t="s">
        <v>910</v>
      </c>
      <c r="K385" s="106" t="s">
        <v>707</v>
      </c>
      <c r="L385" s="106" t="s">
        <v>911</v>
      </c>
      <c r="N385" s="91">
        <f t="shared" si="12"/>
        <v>1</v>
      </c>
      <c r="O385" s="79" t="s">
        <v>771</v>
      </c>
      <c r="P385" s="79" t="s">
        <v>771</v>
      </c>
      <c r="Q385" s="79" t="s">
        <v>770</v>
      </c>
      <c r="R385" s="79" t="s">
        <v>2762</v>
      </c>
      <c r="S385" s="79" t="s">
        <v>2763</v>
      </c>
      <c r="T385" s="79" t="s">
        <v>732</v>
      </c>
      <c r="U385" s="79" t="s">
        <v>733</v>
      </c>
      <c r="V385" s="79" t="s">
        <v>707</v>
      </c>
      <c r="W385" s="79" t="s">
        <v>734</v>
      </c>
      <c r="Y385" s="79" t="s">
        <v>770</v>
      </c>
    </row>
    <row r="386" spans="2:25" ht="12.75" customHeight="1" x14ac:dyDescent="0.2">
      <c r="B386" s="106" t="s">
        <v>1657</v>
      </c>
      <c r="C386" s="106" t="s">
        <v>1657</v>
      </c>
      <c r="D386" s="106" t="s">
        <v>1656</v>
      </c>
      <c r="E386" s="107" t="str">
        <f t="shared" ref="E386:E449" si="13">CONCATENATE(J386,", ",K386,", ",L386)</f>
        <v>CHESTERVILLE, OH, 43317</v>
      </c>
      <c r="F386" s="106" t="s">
        <v>1656</v>
      </c>
      <c r="G386" s="106" t="s">
        <v>1658</v>
      </c>
      <c r="H386" s="106" t="s">
        <v>2834</v>
      </c>
      <c r="I386" s="106" t="s">
        <v>2843</v>
      </c>
      <c r="J386" s="106" t="s">
        <v>1659</v>
      </c>
      <c r="K386" s="106" t="s">
        <v>707</v>
      </c>
      <c r="L386" s="106" t="s">
        <v>1660</v>
      </c>
      <c r="N386" s="91">
        <f t="shared" si="12"/>
        <v>1</v>
      </c>
      <c r="O386" s="79" t="s">
        <v>773</v>
      </c>
      <c r="P386" s="79" t="s">
        <v>773</v>
      </c>
      <c r="Q386" s="79" t="s">
        <v>772</v>
      </c>
      <c r="R386" s="79" t="s">
        <v>2762</v>
      </c>
      <c r="S386" s="79" t="s">
        <v>2766</v>
      </c>
      <c r="T386" s="79" t="s">
        <v>774</v>
      </c>
      <c r="U386" s="79" t="s">
        <v>775</v>
      </c>
      <c r="V386" s="79" t="s">
        <v>707</v>
      </c>
      <c r="W386" s="79" t="s">
        <v>776</v>
      </c>
      <c r="Y386" s="79" t="s">
        <v>772</v>
      </c>
    </row>
    <row r="387" spans="2:25" ht="12.75" customHeight="1" x14ac:dyDescent="0.2">
      <c r="B387" s="106" t="s">
        <v>1616</v>
      </c>
      <c r="C387" s="106" t="s">
        <v>1616</v>
      </c>
      <c r="D387" s="106" t="s">
        <v>1615</v>
      </c>
      <c r="E387" s="107" t="str">
        <f t="shared" si="13"/>
        <v>DELAWARE, OH, 43015</v>
      </c>
      <c r="F387" s="106" t="s">
        <v>1615</v>
      </c>
      <c r="G387" s="106" t="s">
        <v>1617</v>
      </c>
      <c r="H387" s="106" t="s">
        <v>2834</v>
      </c>
      <c r="I387" s="106" t="s">
        <v>2844</v>
      </c>
      <c r="J387" s="106" t="s">
        <v>1618</v>
      </c>
      <c r="K387" s="106" t="s">
        <v>707</v>
      </c>
      <c r="L387" s="106" t="s">
        <v>1619</v>
      </c>
      <c r="N387" s="91">
        <f t="shared" si="12"/>
        <v>1</v>
      </c>
      <c r="O387" s="79" t="s">
        <v>766</v>
      </c>
      <c r="P387" s="79" t="s">
        <v>766</v>
      </c>
      <c r="Q387" s="79" t="s">
        <v>765</v>
      </c>
      <c r="R387" s="79" t="s">
        <v>2767</v>
      </c>
      <c r="S387" s="79" t="s">
        <v>2842</v>
      </c>
      <c r="T387" s="79" t="s">
        <v>767</v>
      </c>
      <c r="U387" s="79" t="s">
        <v>768</v>
      </c>
      <c r="V387" s="79" t="s">
        <v>707</v>
      </c>
      <c r="W387" s="79" t="s">
        <v>769</v>
      </c>
      <c r="Y387" s="79" t="s">
        <v>765</v>
      </c>
    </row>
    <row r="388" spans="2:25" ht="12.75" customHeight="1" x14ac:dyDescent="0.2">
      <c r="B388" s="143" t="s">
        <v>1616</v>
      </c>
      <c r="C388" s="143" t="s">
        <v>1616</v>
      </c>
      <c r="D388" s="143" t="s">
        <v>2687</v>
      </c>
      <c r="E388" s="107" t="str">
        <f t="shared" si="13"/>
        <v>DELAWARE, OH, 43015</v>
      </c>
      <c r="F388" s="143" t="s">
        <v>2687</v>
      </c>
      <c r="G388" s="143" t="s">
        <v>2688</v>
      </c>
      <c r="H388" s="143" t="s">
        <v>2834</v>
      </c>
      <c r="I388" s="143" t="s">
        <v>2844</v>
      </c>
      <c r="J388" s="143" t="s">
        <v>1618</v>
      </c>
      <c r="K388" s="143" t="s">
        <v>707</v>
      </c>
      <c r="L388" s="143" t="s">
        <v>1619</v>
      </c>
      <c r="N388" s="91">
        <f t="shared" si="12"/>
        <v>1</v>
      </c>
      <c r="O388" s="79" t="s">
        <v>1678</v>
      </c>
      <c r="P388" s="79" t="s">
        <v>1678</v>
      </c>
      <c r="Q388" s="79" t="s">
        <v>1677</v>
      </c>
      <c r="R388" s="79" t="s">
        <v>2834</v>
      </c>
      <c r="S388" s="79" t="s">
        <v>2840</v>
      </c>
      <c r="T388" s="79" t="s">
        <v>1679</v>
      </c>
      <c r="U388" s="79" t="s">
        <v>1629</v>
      </c>
      <c r="V388" s="79" t="s">
        <v>707</v>
      </c>
      <c r="W388" s="79" t="s">
        <v>1680</v>
      </c>
      <c r="Y388" s="79" t="s">
        <v>1677</v>
      </c>
    </row>
    <row r="389" spans="2:25" ht="12.75" customHeight="1" x14ac:dyDescent="0.2">
      <c r="B389" s="106" t="s">
        <v>1625</v>
      </c>
      <c r="C389" s="106" t="s">
        <v>1625</v>
      </c>
      <c r="D389" s="106" t="s">
        <v>1624</v>
      </c>
      <c r="E389" s="107" t="str">
        <f t="shared" si="13"/>
        <v>CAMBRIDGE, OH, 43725</v>
      </c>
      <c r="F389" s="106" t="s">
        <v>1624</v>
      </c>
      <c r="G389" s="106" t="s">
        <v>757</v>
      </c>
      <c r="H389" s="106" t="s">
        <v>2786</v>
      </c>
      <c r="I389" s="106" t="s">
        <v>2795</v>
      </c>
      <c r="J389" s="106" t="s">
        <v>758</v>
      </c>
      <c r="K389" s="106" t="s">
        <v>707</v>
      </c>
      <c r="L389" s="106" t="s">
        <v>759</v>
      </c>
      <c r="N389" s="91">
        <f t="shared" si="12"/>
        <v>1</v>
      </c>
      <c r="O389" s="79" t="s">
        <v>778</v>
      </c>
      <c r="P389" s="79" t="s">
        <v>778</v>
      </c>
      <c r="Q389" s="79" t="s">
        <v>777</v>
      </c>
      <c r="R389" s="79" t="s">
        <v>2804</v>
      </c>
      <c r="S389" s="79" t="s">
        <v>2805</v>
      </c>
      <c r="T389" s="79" t="s">
        <v>779</v>
      </c>
      <c r="U389" s="79" t="s">
        <v>780</v>
      </c>
      <c r="V389" s="79" t="s">
        <v>707</v>
      </c>
      <c r="W389" s="79" t="s">
        <v>781</v>
      </c>
      <c r="Y389" s="79" t="s">
        <v>777</v>
      </c>
    </row>
    <row r="390" spans="2:25" s="63" customFormat="1" ht="12.75" customHeight="1" x14ac:dyDescent="0.2">
      <c r="B390" s="106" t="s">
        <v>1621</v>
      </c>
      <c r="C390" s="106" t="s">
        <v>1621</v>
      </c>
      <c r="D390" s="106" t="s">
        <v>1620</v>
      </c>
      <c r="E390" s="107" t="str">
        <f t="shared" si="13"/>
        <v>CANTON, OH, 44707</v>
      </c>
      <c r="F390" s="106" t="s">
        <v>1620</v>
      </c>
      <c r="G390" s="106" t="s">
        <v>774</v>
      </c>
      <c r="H390" s="106" t="s">
        <v>2762</v>
      </c>
      <c r="I390" s="106" t="s">
        <v>2766</v>
      </c>
      <c r="J390" s="106" t="s">
        <v>775</v>
      </c>
      <c r="K390" s="106" t="s">
        <v>707</v>
      </c>
      <c r="L390" s="106" t="s">
        <v>776</v>
      </c>
      <c r="M390" s="110"/>
      <c r="N390" s="91">
        <f t="shared" si="12"/>
        <v>2</v>
      </c>
      <c r="O390" s="79" t="s">
        <v>778</v>
      </c>
      <c r="P390" s="79" t="s">
        <v>778</v>
      </c>
      <c r="Q390" s="79" t="s">
        <v>2581</v>
      </c>
      <c r="R390" s="79" t="s">
        <v>2804</v>
      </c>
      <c r="S390" s="79" t="s">
        <v>2805</v>
      </c>
      <c r="T390" s="79" t="s">
        <v>779</v>
      </c>
      <c r="U390" s="79" t="s">
        <v>780</v>
      </c>
      <c r="V390" s="79" t="s">
        <v>707</v>
      </c>
      <c r="W390" s="79" t="s">
        <v>781</v>
      </c>
      <c r="Y390" s="79" t="s">
        <v>2581</v>
      </c>
    </row>
    <row r="391" spans="2:25" s="63" customFormat="1" ht="12.75" customHeight="1" x14ac:dyDescent="0.2">
      <c r="B391" s="106" t="s">
        <v>1623</v>
      </c>
      <c r="C391" s="106" t="s">
        <v>1623</v>
      </c>
      <c r="D391" s="106" t="s">
        <v>1622</v>
      </c>
      <c r="E391" s="107" t="str">
        <f t="shared" si="13"/>
        <v>CUYAHOGA HEIGHTS, OH, 44105</v>
      </c>
      <c r="F391" s="106" t="s">
        <v>1622</v>
      </c>
      <c r="G391" s="106" t="s">
        <v>891</v>
      </c>
      <c r="H391" s="106" t="s">
        <v>2759</v>
      </c>
      <c r="I391" s="106" t="s">
        <v>2760</v>
      </c>
      <c r="J391" s="106" t="s">
        <v>892</v>
      </c>
      <c r="K391" s="106" t="s">
        <v>707</v>
      </c>
      <c r="L391" s="106" t="s">
        <v>893</v>
      </c>
      <c r="M391" s="110"/>
      <c r="N391" s="91">
        <f t="shared" si="12"/>
        <v>1</v>
      </c>
      <c r="O391" s="79" t="s">
        <v>2408</v>
      </c>
      <c r="P391" s="79" t="s">
        <v>2408</v>
      </c>
      <c r="Q391" s="79" t="s">
        <v>2407</v>
      </c>
      <c r="R391" s="79" t="s">
        <v>2762</v>
      </c>
      <c r="S391" s="79" t="s">
        <v>2763</v>
      </c>
      <c r="T391" s="79" t="s">
        <v>1354</v>
      </c>
      <c r="U391" s="79" t="s">
        <v>733</v>
      </c>
      <c r="V391" s="79" t="s">
        <v>707</v>
      </c>
      <c r="W391" s="79" t="s">
        <v>877</v>
      </c>
      <c r="Y391" s="79" t="s">
        <v>2407</v>
      </c>
    </row>
    <row r="392" spans="2:25" s="63" customFormat="1" ht="12.75" customHeight="1" x14ac:dyDescent="0.2">
      <c r="B392" s="106" t="s">
        <v>798</v>
      </c>
      <c r="C392" s="106" t="s">
        <v>798</v>
      </c>
      <c r="D392" s="106" t="s">
        <v>797</v>
      </c>
      <c r="E392" s="107" t="str">
        <f t="shared" si="13"/>
        <v>DELPHOS, OH, 45833</v>
      </c>
      <c r="F392" s="106" t="s">
        <v>797</v>
      </c>
      <c r="G392" s="106" t="s">
        <v>799</v>
      </c>
      <c r="H392" s="106" t="s">
        <v>2804</v>
      </c>
      <c r="I392" s="106" t="s">
        <v>2845</v>
      </c>
      <c r="J392" s="106" t="s">
        <v>800</v>
      </c>
      <c r="K392" s="106" t="s">
        <v>707</v>
      </c>
      <c r="L392" s="106" t="s">
        <v>801</v>
      </c>
      <c r="M392" s="110"/>
      <c r="N392" s="91">
        <f t="shared" si="12"/>
        <v>1</v>
      </c>
      <c r="O392" s="79" t="s">
        <v>2410</v>
      </c>
      <c r="P392" s="79" t="s">
        <v>2410</v>
      </c>
      <c r="Q392" s="79" t="s">
        <v>2409</v>
      </c>
      <c r="R392" s="79" t="s">
        <v>2775</v>
      </c>
      <c r="S392" s="79" t="s">
        <v>2766</v>
      </c>
      <c r="T392" s="79" t="s">
        <v>2411</v>
      </c>
      <c r="U392" s="79" t="s">
        <v>775</v>
      </c>
      <c r="V392" s="79" t="s">
        <v>707</v>
      </c>
      <c r="W392" s="79" t="s">
        <v>776</v>
      </c>
      <c r="Y392" s="79" t="s">
        <v>2409</v>
      </c>
    </row>
    <row r="393" spans="2:25" ht="12.75" customHeight="1" x14ac:dyDescent="0.2">
      <c r="B393" s="106" t="s">
        <v>761</v>
      </c>
      <c r="C393" s="106" t="s">
        <v>761</v>
      </c>
      <c r="D393" s="106" t="s">
        <v>760</v>
      </c>
      <c r="E393" s="107" t="str">
        <f t="shared" si="13"/>
        <v>FINDLAY, OH, 45839</v>
      </c>
      <c r="F393" s="106" t="s">
        <v>760</v>
      </c>
      <c r="G393" s="106" t="s">
        <v>762</v>
      </c>
      <c r="H393" s="106" t="s">
        <v>2804</v>
      </c>
      <c r="I393" s="106" t="s">
        <v>2846</v>
      </c>
      <c r="J393" s="106" t="s">
        <v>763</v>
      </c>
      <c r="K393" s="106" t="s">
        <v>707</v>
      </c>
      <c r="L393" s="106" t="s">
        <v>764</v>
      </c>
      <c r="N393" s="91">
        <f t="shared" si="12"/>
        <v>1</v>
      </c>
      <c r="O393" s="79" t="s">
        <v>2416</v>
      </c>
      <c r="P393" s="79" t="s">
        <v>2416</v>
      </c>
      <c r="Q393" s="79" t="s">
        <v>2415</v>
      </c>
      <c r="R393" s="79" t="s">
        <v>2786</v>
      </c>
      <c r="S393" s="79" t="s">
        <v>2793</v>
      </c>
      <c r="T393" s="79" t="s">
        <v>2417</v>
      </c>
      <c r="U393" s="79" t="s">
        <v>743</v>
      </c>
      <c r="V393" s="79" t="s">
        <v>707</v>
      </c>
      <c r="W393" s="79" t="s">
        <v>744</v>
      </c>
      <c r="Y393" s="79" t="s">
        <v>2415</v>
      </c>
    </row>
    <row r="394" spans="2:25" ht="12.75" customHeight="1" x14ac:dyDescent="0.2">
      <c r="B394" s="106" t="s">
        <v>771</v>
      </c>
      <c r="C394" s="106" t="s">
        <v>771</v>
      </c>
      <c r="D394" s="106" t="s">
        <v>770</v>
      </c>
      <c r="E394" s="107" t="str">
        <f t="shared" si="13"/>
        <v>AKRON, OH, 44301</v>
      </c>
      <c r="F394" s="106" t="s">
        <v>770</v>
      </c>
      <c r="G394" s="106" t="s">
        <v>732</v>
      </c>
      <c r="H394" s="106" t="s">
        <v>2762</v>
      </c>
      <c r="I394" s="106" t="s">
        <v>2763</v>
      </c>
      <c r="J394" s="106" t="s">
        <v>733</v>
      </c>
      <c r="K394" s="106" t="s">
        <v>707</v>
      </c>
      <c r="L394" s="106" t="s">
        <v>734</v>
      </c>
      <c r="N394" s="91">
        <f t="shared" si="12"/>
        <v>1</v>
      </c>
      <c r="O394" s="79" t="s">
        <v>2413</v>
      </c>
      <c r="P394" s="79" t="s">
        <v>2413</v>
      </c>
      <c r="Q394" s="79" t="s">
        <v>2412</v>
      </c>
      <c r="R394" s="79" t="s">
        <v>2791</v>
      </c>
      <c r="S394" s="79" t="s">
        <v>2812</v>
      </c>
      <c r="T394" s="79" t="s">
        <v>2414</v>
      </c>
      <c r="U394" s="79" t="s">
        <v>738</v>
      </c>
      <c r="V394" s="79" t="s">
        <v>707</v>
      </c>
      <c r="W394" s="79" t="s">
        <v>739</v>
      </c>
      <c r="Y394" s="79" t="s">
        <v>2412</v>
      </c>
    </row>
    <row r="395" spans="2:25" ht="12.75" customHeight="1" x14ac:dyDescent="0.2">
      <c r="B395" s="106" t="s">
        <v>773</v>
      </c>
      <c r="C395" s="106" t="s">
        <v>773</v>
      </c>
      <c r="D395" s="106" t="s">
        <v>772</v>
      </c>
      <c r="E395" s="107" t="str">
        <f t="shared" si="13"/>
        <v>CANTON, OH, 44707</v>
      </c>
      <c r="F395" s="106" t="s">
        <v>772</v>
      </c>
      <c r="G395" s="106" t="s">
        <v>774</v>
      </c>
      <c r="H395" s="106" t="s">
        <v>2762</v>
      </c>
      <c r="I395" s="106" t="s">
        <v>2766</v>
      </c>
      <c r="J395" s="106" t="s">
        <v>775</v>
      </c>
      <c r="K395" s="106" t="s">
        <v>707</v>
      </c>
      <c r="L395" s="106" t="s">
        <v>776</v>
      </c>
      <c r="N395" s="91">
        <f t="shared" si="12"/>
        <v>1</v>
      </c>
      <c r="O395" s="79" t="s">
        <v>2405</v>
      </c>
      <c r="P395" s="79" t="s">
        <v>2405</v>
      </c>
      <c r="Q395" s="79" t="s">
        <v>2404</v>
      </c>
      <c r="R395" s="79" t="s">
        <v>2767</v>
      </c>
      <c r="S395" s="79" t="s">
        <v>2842</v>
      </c>
      <c r="T395" s="79" t="s">
        <v>2406</v>
      </c>
      <c r="U395" s="79" t="s">
        <v>768</v>
      </c>
      <c r="V395" s="79" t="s">
        <v>707</v>
      </c>
      <c r="W395" s="79" t="s">
        <v>769</v>
      </c>
      <c r="Y395" s="79" t="s">
        <v>2404</v>
      </c>
    </row>
    <row r="396" spans="2:25" ht="12.75" customHeight="1" x14ac:dyDescent="0.2">
      <c r="B396" s="106" t="s">
        <v>766</v>
      </c>
      <c r="C396" s="106" t="s">
        <v>766</v>
      </c>
      <c r="D396" s="106" t="s">
        <v>765</v>
      </c>
      <c r="E396" s="107" t="str">
        <f t="shared" si="13"/>
        <v>WOOSTER, OH, 44691</v>
      </c>
      <c r="F396" s="106" t="s">
        <v>765</v>
      </c>
      <c r="G396" s="106" t="s">
        <v>767</v>
      </c>
      <c r="H396" s="106" t="s">
        <v>2767</v>
      </c>
      <c r="I396" s="106" t="s">
        <v>2842</v>
      </c>
      <c r="J396" s="106" t="s">
        <v>768</v>
      </c>
      <c r="K396" s="106" t="s">
        <v>707</v>
      </c>
      <c r="L396" s="106" t="s">
        <v>769</v>
      </c>
      <c r="N396" s="91">
        <f t="shared" si="12"/>
        <v>1</v>
      </c>
      <c r="O396" s="79" t="s">
        <v>1637</v>
      </c>
      <c r="P396" s="79" t="s">
        <v>1637</v>
      </c>
      <c r="Q396" s="79" t="s">
        <v>1636</v>
      </c>
      <c r="R396" s="79" t="s">
        <v>2834</v>
      </c>
      <c r="S396" s="79" t="s">
        <v>2757</v>
      </c>
      <c r="T396" s="79" t="s">
        <v>1638</v>
      </c>
      <c r="U396" s="79" t="s">
        <v>1639</v>
      </c>
      <c r="V396" s="79" t="s">
        <v>707</v>
      </c>
      <c r="W396" s="79" t="s">
        <v>1640</v>
      </c>
      <c r="Y396" s="79" t="s">
        <v>1636</v>
      </c>
    </row>
    <row r="397" spans="2:25" ht="12.75" customHeight="1" x14ac:dyDescent="0.2">
      <c r="B397" s="106" t="s">
        <v>778</v>
      </c>
      <c r="C397" s="106" t="s">
        <v>778</v>
      </c>
      <c r="D397" s="106" t="s">
        <v>777</v>
      </c>
      <c r="E397" s="107" t="str">
        <f t="shared" si="13"/>
        <v>LIMA, OH, 45802</v>
      </c>
      <c r="F397" s="106" t="s">
        <v>777</v>
      </c>
      <c r="G397" s="106" t="s">
        <v>779</v>
      </c>
      <c r="H397" s="106" t="s">
        <v>2804</v>
      </c>
      <c r="I397" s="106" t="s">
        <v>2805</v>
      </c>
      <c r="J397" s="106" t="s">
        <v>780</v>
      </c>
      <c r="K397" s="106" t="s">
        <v>707</v>
      </c>
      <c r="L397" s="106" t="s">
        <v>781</v>
      </c>
      <c r="N397" s="91">
        <f t="shared" si="12"/>
        <v>2</v>
      </c>
      <c r="O397" s="79" t="s">
        <v>1637</v>
      </c>
      <c r="P397" s="79" t="s">
        <v>1637</v>
      </c>
      <c r="Q397" s="79" t="s">
        <v>2691</v>
      </c>
      <c r="R397" s="79" t="s">
        <v>2834</v>
      </c>
      <c r="S397" s="79" t="s">
        <v>2757</v>
      </c>
      <c r="T397" s="79" t="s">
        <v>1638</v>
      </c>
      <c r="U397" s="79" t="s">
        <v>1639</v>
      </c>
      <c r="V397" s="79" t="s">
        <v>707</v>
      </c>
      <c r="W397" s="79" t="s">
        <v>1640</v>
      </c>
      <c r="Y397" s="79" t="s">
        <v>2691</v>
      </c>
    </row>
    <row r="398" spans="2:25" ht="12.75" customHeight="1" x14ac:dyDescent="0.2">
      <c r="B398" s="106" t="s">
        <v>778</v>
      </c>
      <c r="C398" s="106" t="s">
        <v>778</v>
      </c>
      <c r="D398" s="106" t="s">
        <v>2581</v>
      </c>
      <c r="E398" s="107" t="str">
        <f t="shared" si="13"/>
        <v>LIMA, OH, 45802</v>
      </c>
      <c r="F398" s="106" t="s">
        <v>2581</v>
      </c>
      <c r="G398" s="106" t="s">
        <v>779</v>
      </c>
      <c r="H398" s="106" t="s">
        <v>2804</v>
      </c>
      <c r="I398" s="106" t="s">
        <v>2805</v>
      </c>
      <c r="J398" s="106" t="s">
        <v>780</v>
      </c>
      <c r="K398" s="106" t="s">
        <v>707</v>
      </c>
      <c r="L398" s="106" t="s">
        <v>781</v>
      </c>
      <c r="N398" s="91">
        <f t="shared" si="12"/>
        <v>1</v>
      </c>
      <c r="O398" s="79" t="s">
        <v>783</v>
      </c>
      <c r="P398" s="79" t="s">
        <v>783</v>
      </c>
      <c r="Q398" s="79" t="s">
        <v>782</v>
      </c>
      <c r="R398" s="79" t="s">
        <v>2804</v>
      </c>
      <c r="S398" s="79" t="s">
        <v>2847</v>
      </c>
      <c r="T398" s="79" t="s">
        <v>784</v>
      </c>
      <c r="U398" s="79" t="s">
        <v>785</v>
      </c>
      <c r="V398" s="79" t="s">
        <v>707</v>
      </c>
      <c r="W398" s="79" t="s">
        <v>786</v>
      </c>
      <c r="Y398" s="79" t="s">
        <v>782</v>
      </c>
    </row>
    <row r="399" spans="2:25" ht="12.75" customHeight="1" x14ac:dyDescent="0.2">
      <c r="B399" s="106" t="s">
        <v>2408</v>
      </c>
      <c r="C399" s="106" t="s">
        <v>2408</v>
      </c>
      <c r="D399" s="106" t="s">
        <v>2407</v>
      </c>
      <c r="E399" s="107" t="str">
        <f t="shared" si="13"/>
        <v>AKRON, OH, 44319</v>
      </c>
      <c r="F399" s="106" t="s">
        <v>2407</v>
      </c>
      <c r="G399" s="106" t="s">
        <v>1354</v>
      </c>
      <c r="H399" s="106" t="s">
        <v>2762</v>
      </c>
      <c r="I399" s="106" t="s">
        <v>2763</v>
      </c>
      <c r="J399" s="106" t="s">
        <v>733</v>
      </c>
      <c r="K399" s="106" t="s">
        <v>707</v>
      </c>
      <c r="L399" s="106" t="s">
        <v>877</v>
      </c>
      <c r="N399" s="91">
        <f t="shared" si="12"/>
        <v>1</v>
      </c>
      <c r="O399" s="79" t="s">
        <v>867</v>
      </c>
      <c r="P399" s="79" t="s">
        <v>867</v>
      </c>
      <c r="Q399" s="79" t="s">
        <v>866</v>
      </c>
      <c r="R399" s="79" t="s">
        <v>2804</v>
      </c>
      <c r="S399" s="79" t="s">
        <v>2847</v>
      </c>
      <c r="T399" s="79" t="s">
        <v>868</v>
      </c>
      <c r="U399" s="79" t="s">
        <v>869</v>
      </c>
      <c r="V399" s="79" t="s">
        <v>707</v>
      </c>
      <c r="W399" s="79" t="s">
        <v>870</v>
      </c>
      <c r="Y399" s="79" t="s">
        <v>866</v>
      </c>
    </row>
    <row r="400" spans="2:25" ht="12.75" customHeight="1" x14ac:dyDescent="0.2">
      <c r="B400" s="106" t="s">
        <v>2410</v>
      </c>
      <c r="C400" s="106" t="s">
        <v>2410</v>
      </c>
      <c r="D400" s="106" t="s">
        <v>2409</v>
      </c>
      <c r="E400" s="107" t="str">
        <f t="shared" si="13"/>
        <v>CANTON, OH, 44707</v>
      </c>
      <c r="F400" s="106" t="s">
        <v>2409</v>
      </c>
      <c r="G400" s="106" t="s">
        <v>2411</v>
      </c>
      <c r="H400" s="106" t="s">
        <v>2775</v>
      </c>
      <c r="I400" s="106" t="s">
        <v>2766</v>
      </c>
      <c r="J400" s="106" t="s">
        <v>775</v>
      </c>
      <c r="K400" s="106" t="s">
        <v>707</v>
      </c>
      <c r="L400" s="106" t="s">
        <v>776</v>
      </c>
      <c r="N400" s="91">
        <f t="shared" si="12"/>
        <v>1</v>
      </c>
      <c r="O400" s="79" t="s">
        <v>2456</v>
      </c>
      <c r="P400" s="79" t="s">
        <v>2456</v>
      </c>
      <c r="Q400" s="79" t="s">
        <v>2455</v>
      </c>
      <c r="R400" s="79" t="s">
        <v>2762</v>
      </c>
      <c r="S400" s="79" t="s">
        <v>2766</v>
      </c>
      <c r="T400" s="79" t="s">
        <v>2411</v>
      </c>
      <c r="U400" s="79" t="s">
        <v>775</v>
      </c>
      <c r="V400" s="79" t="s">
        <v>707</v>
      </c>
      <c r="W400" s="79" t="s">
        <v>776</v>
      </c>
      <c r="Y400" s="79" t="s">
        <v>2455</v>
      </c>
    </row>
    <row r="401" spans="2:25" ht="12.75" customHeight="1" x14ac:dyDescent="0.2">
      <c r="B401" s="106" t="s">
        <v>2416</v>
      </c>
      <c r="C401" s="106" t="s">
        <v>2416</v>
      </c>
      <c r="D401" s="106" t="s">
        <v>2415</v>
      </c>
      <c r="E401" s="107" t="str">
        <f t="shared" si="13"/>
        <v>COSHOCTON, OH, 43812</v>
      </c>
      <c r="F401" s="106" t="s">
        <v>2415</v>
      </c>
      <c r="G401" s="106" t="s">
        <v>2417</v>
      </c>
      <c r="H401" s="106" t="s">
        <v>2786</v>
      </c>
      <c r="I401" s="106" t="s">
        <v>2793</v>
      </c>
      <c r="J401" s="106" t="s">
        <v>743</v>
      </c>
      <c r="K401" s="106" t="s">
        <v>707</v>
      </c>
      <c r="L401" s="106" t="s">
        <v>744</v>
      </c>
      <c r="N401" s="91">
        <f t="shared" si="12"/>
        <v>1</v>
      </c>
      <c r="O401" s="79" t="s">
        <v>2454</v>
      </c>
      <c r="P401" s="79" t="s">
        <v>2454</v>
      </c>
      <c r="Q401" s="79" t="s">
        <v>2453</v>
      </c>
      <c r="R401" s="79" t="s">
        <v>2762</v>
      </c>
      <c r="S401" s="79" t="s">
        <v>2763</v>
      </c>
      <c r="T401" s="79" t="s">
        <v>1354</v>
      </c>
      <c r="U401" s="79" t="s">
        <v>733</v>
      </c>
      <c r="V401" s="79" t="s">
        <v>707</v>
      </c>
      <c r="W401" s="79" t="s">
        <v>877</v>
      </c>
      <c r="Y401" s="79" t="s">
        <v>2453</v>
      </c>
    </row>
    <row r="402" spans="2:25" ht="12.75" customHeight="1" x14ac:dyDescent="0.2">
      <c r="B402" s="106" t="s">
        <v>2413</v>
      </c>
      <c r="C402" s="106" t="s">
        <v>2413</v>
      </c>
      <c r="D402" s="106" t="s">
        <v>2412</v>
      </c>
      <c r="E402" s="107" t="str">
        <f t="shared" si="13"/>
        <v>NEW PHILADELPHIA, OH, 44663</v>
      </c>
      <c r="F402" s="106" t="s">
        <v>2412</v>
      </c>
      <c r="G402" s="106" t="s">
        <v>2414</v>
      </c>
      <c r="H402" s="106" t="s">
        <v>2791</v>
      </c>
      <c r="I402" s="106" t="s">
        <v>2812</v>
      </c>
      <c r="J402" s="106" t="s">
        <v>738</v>
      </c>
      <c r="K402" s="106" t="s">
        <v>707</v>
      </c>
      <c r="L402" s="106" t="s">
        <v>739</v>
      </c>
      <c r="N402" s="91">
        <f t="shared" si="12"/>
        <v>1</v>
      </c>
      <c r="O402" s="79" t="s">
        <v>2460</v>
      </c>
      <c r="P402" s="79" t="s">
        <v>2460</v>
      </c>
      <c r="Q402" s="79" t="s">
        <v>2459</v>
      </c>
      <c r="R402" s="79" t="s">
        <v>2786</v>
      </c>
      <c r="S402" s="79" t="s">
        <v>2793</v>
      </c>
      <c r="T402" s="79" t="s">
        <v>2417</v>
      </c>
      <c r="U402" s="79" t="s">
        <v>743</v>
      </c>
      <c r="V402" s="79" t="s">
        <v>707</v>
      </c>
      <c r="W402" s="79" t="s">
        <v>744</v>
      </c>
      <c r="Y402" s="79" t="s">
        <v>2459</v>
      </c>
    </row>
    <row r="403" spans="2:25" ht="12.75" customHeight="1" x14ac:dyDescent="0.2">
      <c r="B403" s="106" t="s">
        <v>2405</v>
      </c>
      <c r="C403" s="106" t="s">
        <v>2405</v>
      </c>
      <c r="D403" s="106" t="s">
        <v>2404</v>
      </c>
      <c r="E403" s="107" t="str">
        <f t="shared" si="13"/>
        <v>WOOSTER, OH, 44691</v>
      </c>
      <c r="F403" s="106" t="s">
        <v>2404</v>
      </c>
      <c r="G403" s="106" t="s">
        <v>2406</v>
      </c>
      <c r="H403" s="106" t="s">
        <v>2767</v>
      </c>
      <c r="I403" s="106" t="s">
        <v>2842</v>
      </c>
      <c r="J403" s="106" t="s">
        <v>768</v>
      </c>
      <c r="K403" s="106" t="s">
        <v>707</v>
      </c>
      <c r="L403" s="106" t="s">
        <v>769</v>
      </c>
      <c r="N403" s="91">
        <f t="shared" si="12"/>
        <v>1</v>
      </c>
      <c r="O403" s="79" t="s">
        <v>2451</v>
      </c>
      <c r="P403" s="79" t="s">
        <v>2451</v>
      </c>
      <c r="Q403" s="79" t="s">
        <v>2450</v>
      </c>
      <c r="R403" s="79" t="s">
        <v>2767</v>
      </c>
      <c r="S403" s="79" t="s">
        <v>2842</v>
      </c>
      <c r="T403" s="79" t="s">
        <v>2452</v>
      </c>
      <c r="U403" s="79" t="s">
        <v>768</v>
      </c>
      <c r="V403" s="79" t="s">
        <v>707</v>
      </c>
      <c r="W403" s="79" t="s">
        <v>769</v>
      </c>
      <c r="Y403" s="79" t="s">
        <v>2450</v>
      </c>
    </row>
    <row r="404" spans="2:25" ht="12.75" customHeight="1" x14ac:dyDescent="0.2">
      <c r="B404" s="106" t="s">
        <v>1637</v>
      </c>
      <c r="C404" s="106" t="s">
        <v>1637</v>
      </c>
      <c r="D404" s="106" t="s">
        <v>1636</v>
      </c>
      <c r="E404" s="107" t="str">
        <f t="shared" si="13"/>
        <v>MARION, OH, 43302</v>
      </c>
      <c r="F404" s="106" t="s">
        <v>1636</v>
      </c>
      <c r="G404" s="106" t="s">
        <v>1638</v>
      </c>
      <c r="H404" s="106" t="s">
        <v>2834</v>
      </c>
      <c r="I404" s="106" t="s">
        <v>2757</v>
      </c>
      <c r="J404" s="106" t="s">
        <v>1639</v>
      </c>
      <c r="K404" s="106" t="s">
        <v>707</v>
      </c>
      <c r="L404" s="106" t="s">
        <v>1640</v>
      </c>
      <c r="N404" s="91">
        <f t="shared" si="12"/>
        <v>1</v>
      </c>
      <c r="O404" s="79" t="s">
        <v>2458</v>
      </c>
      <c r="P404" s="79" t="s">
        <v>2458</v>
      </c>
      <c r="Q404" s="79" t="s">
        <v>2457</v>
      </c>
      <c r="R404" s="79" t="s">
        <v>2791</v>
      </c>
      <c r="S404" s="79" t="s">
        <v>2812</v>
      </c>
      <c r="T404" s="79" t="s">
        <v>2414</v>
      </c>
      <c r="U404" s="79" t="s">
        <v>738</v>
      </c>
      <c r="V404" s="79" t="s">
        <v>707</v>
      </c>
      <c r="W404" s="79" t="s">
        <v>739</v>
      </c>
      <c r="Y404" s="79" t="s">
        <v>2457</v>
      </c>
    </row>
    <row r="405" spans="2:25" ht="12.75" customHeight="1" x14ac:dyDescent="0.2">
      <c r="B405" s="143" t="s">
        <v>1637</v>
      </c>
      <c r="C405" s="143" t="s">
        <v>1637</v>
      </c>
      <c r="D405" s="143" t="s">
        <v>2691</v>
      </c>
      <c r="E405" s="107" t="str">
        <f t="shared" si="13"/>
        <v>MARION, OH, 43302</v>
      </c>
      <c r="F405" s="143" t="s">
        <v>2691</v>
      </c>
      <c r="G405" s="143" t="s">
        <v>1638</v>
      </c>
      <c r="H405" s="143" t="s">
        <v>2834</v>
      </c>
      <c r="I405" s="143" t="s">
        <v>2757</v>
      </c>
      <c r="J405" s="143" t="s">
        <v>1639</v>
      </c>
      <c r="K405" s="143" t="s">
        <v>707</v>
      </c>
      <c r="L405" s="143" t="s">
        <v>1640</v>
      </c>
      <c r="N405" s="91">
        <f t="shared" ref="N405:N468" si="14">IF(O405=O404,1+N404,1)</f>
        <v>1</v>
      </c>
      <c r="O405" s="79" t="s">
        <v>1756</v>
      </c>
      <c r="P405" s="79" t="s">
        <v>1756</v>
      </c>
      <c r="Q405" s="79" t="s">
        <v>1755</v>
      </c>
      <c r="R405" s="79" t="s">
        <v>2775</v>
      </c>
      <c r="S405" s="79" t="s">
        <v>2796</v>
      </c>
      <c r="T405" s="79" t="s">
        <v>1757</v>
      </c>
      <c r="U405" s="79" t="s">
        <v>1758</v>
      </c>
      <c r="V405" s="79" t="s">
        <v>707</v>
      </c>
      <c r="W405" s="79" t="s">
        <v>1759</v>
      </c>
      <c r="Y405" s="79" t="s">
        <v>1755</v>
      </c>
    </row>
    <row r="406" spans="2:25" ht="12.75" customHeight="1" x14ac:dyDescent="0.2">
      <c r="B406" s="106" t="s">
        <v>783</v>
      </c>
      <c r="C406" s="106" t="s">
        <v>783</v>
      </c>
      <c r="D406" s="106" t="s">
        <v>782</v>
      </c>
      <c r="E406" s="107" t="str">
        <f t="shared" si="13"/>
        <v>OTTAWA, OH, 45875</v>
      </c>
      <c r="F406" s="106" t="s">
        <v>782</v>
      </c>
      <c r="G406" s="106" t="s">
        <v>784</v>
      </c>
      <c r="H406" s="106" t="s">
        <v>2804</v>
      </c>
      <c r="I406" s="106" t="s">
        <v>2847</v>
      </c>
      <c r="J406" s="106" t="s">
        <v>785</v>
      </c>
      <c r="K406" s="106" t="s">
        <v>707</v>
      </c>
      <c r="L406" s="106" t="s">
        <v>786</v>
      </c>
      <c r="N406" s="91">
        <f t="shared" si="14"/>
        <v>1</v>
      </c>
      <c r="O406" s="79" t="s">
        <v>1250</v>
      </c>
      <c r="P406" s="79" t="s">
        <v>1250</v>
      </c>
      <c r="Q406" s="79" t="s">
        <v>1249</v>
      </c>
      <c r="R406" s="79" t="s">
        <v>2762</v>
      </c>
      <c r="S406" s="79" t="s">
        <v>2790</v>
      </c>
      <c r="T406" s="79" t="s">
        <v>1251</v>
      </c>
      <c r="U406" s="79" t="s">
        <v>1252</v>
      </c>
      <c r="V406" s="79" t="s">
        <v>707</v>
      </c>
      <c r="W406" s="79" t="s">
        <v>1253</v>
      </c>
      <c r="Y406" s="79" t="s">
        <v>1249</v>
      </c>
    </row>
    <row r="407" spans="2:25" ht="12.75" customHeight="1" x14ac:dyDescent="0.2">
      <c r="B407" s="106" t="s">
        <v>867</v>
      </c>
      <c r="C407" s="106" t="s">
        <v>867</v>
      </c>
      <c r="D407" s="106" t="s">
        <v>866</v>
      </c>
      <c r="E407" s="107" t="str">
        <f t="shared" si="13"/>
        <v>RIMER, OH, 45830</v>
      </c>
      <c r="F407" s="106" t="s">
        <v>866</v>
      </c>
      <c r="G407" s="106" t="s">
        <v>868</v>
      </c>
      <c r="H407" s="106" t="s">
        <v>2804</v>
      </c>
      <c r="I407" s="106" t="s">
        <v>2847</v>
      </c>
      <c r="J407" s="106" t="s">
        <v>869</v>
      </c>
      <c r="K407" s="106" t="s">
        <v>707</v>
      </c>
      <c r="L407" s="106" t="s">
        <v>870</v>
      </c>
      <c r="N407" s="91">
        <f t="shared" si="14"/>
        <v>1</v>
      </c>
      <c r="O407" s="79" t="s">
        <v>1585</v>
      </c>
      <c r="P407" s="79" t="s">
        <v>1585</v>
      </c>
      <c r="Q407" s="79" t="s">
        <v>1584</v>
      </c>
      <c r="R407" s="79" t="s">
        <v>2786</v>
      </c>
      <c r="S407" s="79" t="s">
        <v>2787</v>
      </c>
      <c r="T407" s="79" t="s">
        <v>1586</v>
      </c>
      <c r="U407" s="79" t="s">
        <v>1587</v>
      </c>
      <c r="V407" s="79" t="s">
        <v>707</v>
      </c>
      <c r="W407" s="79" t="s">
        <v>1526</v>
      </c>
      <c r="Y407" s="79" t="s">
        <v>1584</v>
      </c>
    </row>
    <row r="408" spans="2:25" ht="12.75" customHeight="1" x14ac:dyDescent="0.2">
      <c r="B408" s="106" t="s">
        <v>2456</v>
      </c>
      <c r="C408" s="106" t="s">
        <v>2456</v>
      </c>
      <c r="D408" s="106" t="s">
        <v>2455</v>
      </c>
      <c r="E408" s="107" t="str">
        <f t="shared" si="13"/>
        <v>CANTON, OH, 44707</v>
      </c>
      <c r="F408" s="106" t="s">
        <v>2455</v>
      </c>
      <c r="G408" s="106" t="s">
        <v>2411</v>
      </c>
      <c r="H408" s="106" t="s">
        <v>2762</v>
      </c>
      <c r="I408" s="106" t="s">
        <v>2766</v>
      </c>
      <c r="J408" s="106" t="s">
        <v>775</v>
      </c>
      <c r="K408" s="106" t="s">
        <v>707</v>
      </c>
      <c r="L408" s="106" t="s">
        <v>776</v>
      </c>
      <c r="N408" s="91">
        <f t="shared" si="14"/>
        <v>1</v>
      </c>
      <c r="O408" s="79" t="s">
        <v>2371</v>
      </c>
      <c r="P408" s="79" t="s">
        <v>2371</v>
      </c>
      <c r="Q408" s="79" t="s">
        <v>2370</v>
      </c>
      <c r="R408" s="79" t="s">
        <v>2791</v>
      </c>
      <c r="S408" s="79" t="s">
        <v>2812</v>
      </c>
      <c r="T408" s="79" t="s">
        <v>2372</v>
      </c>
      <c r="U408" s="79" t="s">
        <v>2363</v>
      </c>
      <c r="V408" s="79" t="s">
        <v>707</v>
      </c>
      <c r="W408" s="79" t="s">
        <v>2364</v>
      </c>
      <c r="Y408" s="79" t="s">
        <v>2370</v>
      </c>
    </row>
    <row r="409" spans="2:25" ht="12.75" customHeight="1" x14ac:dyDescent="0.2">
      <c r="B409" s="106" t="s">
        <v>2454</v>
      </c>
      <c r="C409" s="106" t="s">
        <v>2454</v>
      </c>
      <c r="D409" s="106" t="s">
        <v>2453</v>
      </c>
      <c r="E409" s="107" t="str">
        <f t="shared" si="13"/>
        <v>AKRON, OH, 44319</v>
      </c>
      <c r="F409" s="106" t="s">
        <v>2453</v>
      </c>
      <c r="G409" s="106" t="s">
        <v>1354</v>
      </c>
      <c r="H409" s="106" t="s">
        <v>2762</v>
      </c>
      <c r="I409" s="106" t="s">
        <v>2763</v>
      </c>
      <c r="J409" s="106" t="s">
        <v>733</v>
      </c>
      <c r="K409" s="106" t="s">
        <v>707</v>
      </c>
      <c r="L409" s="106" t="s">
        <v>877</v>
      </c>
      <c r="N409" s="91">
        <f t="shared" si="14"/>
        <v>1</v>
      </c>
      <c r="O409" s="79" t="s">
        <v>1293</v>
      </c>
      <c r="P409" s="79" t="s">
        <v>1293</v>
      </c>
      <c r="Q409" s="79" t="s">
        <v>1292</v>
      </c>
      <c r="R409" s="79" t="s">
        <v>2762</v>
      </c>
      <c r="S409" s="79" t="s">
        <v>2815</v>
      </c>
      <c r="T409" s="79" t="s">
        <v>1294</v>
      </c>
      <c r="U409" s="79" t="s">
        <v>1295</v>
      </c>
      <c r="V409" s="79" t="s">
        <v>707</v>
      </c>
      <c r="W409" s="79" t="s">
        <v>1296</v>
      </c>
      <c r="Y409" s="79" t="s">
        <v>1292</v>
      </c>
    </row>
    <row r="410" spans="2:25" ht="12.75" customHeight="1" x14ac:dyDescent="0.2">
      <c r="B410" s="106" t="s">
        <v>2460</v>
      </c>
      <c r="C410" s="106" t="s">
        <v>2460</v>
      </c>
      <c r="D410" s="106" t="s">
        <v>2459</v>
      </c>
      <c r="E410" s="107" t="str">
        <f t="shared" si="13"/>
        <v>COSHOCTON, OH, 43812</v>
      </c>
      <c r="F410" s="106" t="s">
        <v>2459</v>
      </c>
      <c r="G410" s="106" t="s">
        <v>2417</v>
      </c>
      <c r="H410" s="106" t="s">
        <v>2786</v>
      </c>
      <c r="I410" s="106" t="s">
        <v>2793</v>
      </c>
      <c r="J410" s="106" t="s">
        <v>743</v>
      </c>
      <c r="K410" s="106" t="s">
        <v>707</v>
      </c>
      <c r="L410" s="106" t="s">
        <v>744</v>
      </c>
      <c r="N410" s="91">
        <f t="shared" si="14"/>
        <v>1</v>
      </c>
      <c r="O410" s="79" t="s">
        <v>1950</v>
      </c>
      <c r="P410" s="79" t="s">
        <v>1950</v>
      </c>
      <c r="Q410" s="79" t="s">
        <v>1949</v>
      </c>
      <c r="R410" s="79" t="s">
        <v>2770</v>
      </c>
      <c r="S410" s="79" t="s">
        <v>2764</v>
      </c>
      <c r="T410" s="79" t="s">
        <v>1951</v>
      </c>
      <c r="U410" s="79" t="s">
        <v>1303</v>
      </c>
      <c r="V410" s="79" t="s">
        <v>1920</v>
      </c>
      <c r="W410" s="79" t="s">
        <v>1952</v>
      </c>
      <c r="Y410" s="79" t="s">
        <v>1949</v>
      </c>
    </row>
    <row r="411" spans="2:25" ht="12.75" customHeight="1" x14ac:dyDescent="0.2">
      <c r="B411" s="106" t="s">
        <v>2451</v>
      </c>
      <c r="C411" s="106" t="s">
        <v>2451</v>
      </c>
      <c r="D411" s="106" t="s">
        <v>2450</v>
      </c>
      <c r="E411" s="107" t="str">
        <f t="shared" si="13"/>
        <v>WOOSTER, OH, 44691</v>
      </c>
      <c r="F411" s="106" t="s">
        <v>2450</v>
      </c>
      <c r="G411" s="106" t="s">
        <v>2452</v>
      </c>
      <c r="H411" s="106" t="s">
        <v>2767</v>
      </c>
      <c r="I411" s="106" t="s">
        <v>2842</v>
      </c>
      <c r="J411" s="106" t="s">
        <v>768</v>
      </c>
      <c r="K411" s="106" t="s">
        <v>707</v>
      </c>
      <c r="L411" s="106" t="s">
        <v>769</v>
      </c>
      <c r="N411" s="91">
        <f t="shared" si="14"/>
        <v>2</v>
      </c>
      <c r="O411" s="79" t="s">
        <v>1950</v>
      </c>
      <c r="P411" s="79" t="s">
        <v>1950</v>
      </c>
      <c r="Q411" s="79" t="s">
        <v>2717</v>
      </c>
      <c r="R411" s="79" t="s">
        <v>2770</v>
      </c>
      <c r="S411" s="79" t="s">
        <v>2764</v>
      </c>
      <c r="T411" s="79" t="s">
        <v>1951</v>
      </c>
      <c r="U411" s="79" t="s">
        <v>1303</v>
      </c>
      <c r="V411" s="79" t="s">
        <v>1920</v>
      </c>
      <c r="W411" s="79" t="s">
        <v>1952</v>
      </c>
      <c r="Y411" s="79" t="s">
        <v>2717</v>
      </c>
    </row>
    <row r="412" spans="2:25" ht="12.75" customHeight="1" x14ac:dyDescent="0.2">
      <c r="B412" s="106" t="s">
        <v>2458</v>
      </c>
      <c r="C412" s="106" t="s">
        <v>2458</v>
      </c>
      <c r="D412" s="106" t="s">
        <v>2457</v>
      </c>
      <c r="E412" s="107" t="str">
        <f t="shared" si="13"/>
        <v>NEW PHILADELPHIA, OH, 44663</v>
      </c>
      <c r="F412" s="106" t="s">
        <v>2457</v>
      </c>
      <c r="G412" s="106" t="s">
        <v>2414</v>
      </c>
      <c r="H412" s="106" t="s">
        <v>2791</v>
      </c>
      <c r="I412" s="106" t="s">
        <v>2812</v>
      </c>
      <c r="J412" s="106" t="s">
        <v>738</v>
      </c>
      <c r="K412" s="106" t="s">
        <v>707</v>
      </c>
      <c r="L412" s="106" t="s">
        <v>739</v>
      </c>
      <c r="N412" s="91">
        <f t="shared" si="14"/>
        <v>1</v>
      </c>
      <c r="O412" s="79" t="s">
        <v>1857</v>
      </c>
      <c r="P412" s="79" t="s">
        <v>1857</v>
      </c>
      <c r="Q412" s="79" t="s">
        <v>1856</v>
      </c>
      <c r="R412" s="79" t="s">
        <v>2770</v>
      </c>
      <c r="S412" s="79" t="s">
        <v>2828</v>
      </c>
      <c r="T412" s="79" t="s">
        <v>1858</v>
      </c>
      <c r="U412" s="79" t="s">
        <v>1859</v>
      </c>
      <c r="V412" s="79" t="s">
        <v>707</v>
      </c>
      <c r="W412" s="79" t="s">
        <v>1860</v>
      </c>
      <c r="Y412" s="79" t="s">
        <v>1856</v>
      </c>
    </row>
    <row r="413" spans="2:25" ht="12.75" customHeight="1" x14ac:dyDescent="0.2">
      <c r="B413" s="106" t="s">
        <v>1756</v>
      </c>
      <c r="C413" s="106" t="s">
        <v>1756</v>
      </c>
      <c r="D413" s="106" t="s">
        <v>1755</v>
      </c>
      <c r="E413" s="107" t="str">
        <f t="shared" si="13"/>
        <v>BELLEFONTAINE, OH, 43311</v>
      </c>
      <c r="F413" s="106" t="s">
        <v>1755</v>
      </c>
      <c r="G413" s="106" t="s">
        <v>1757</v>
      </c>
      <c r="H413" s="106" t="s">
        <v>2775</v>
      </c>
      <c r="I413" s="106" t="s">
        <v>2796</v>
      </c>
      <c r="J413" s="106" t="s">
        <v>1758</v>
      </c>
      <c r="K413" s="106" t="s">
        <v>707</v>
      </c>
      <c r="L413" s="106" t="s">
        <v>1759</v>
      </c>
      <c r="N413" s="91">
        <f t="shared" si="14"/>
        <v>1</v>
      </c>
      <c r="O413" s="79" t="s">
        <v>2133</v>
      </c>
      <c r="P413" s="79" t="s">
        <v>2133</v>
      </c>
      <c r="Q413" s="79" t="s">
        <v>2132</v>
      </c>
      <c r="R413" s="79" t="s">
        <v>2780</v>
      </c>
      <c r="S413" s="79" t="s">
        <v>2799</v>
      </c>
      <c r="T413" s="79" t="s">
        <v>2134</v>
      </c>
      <c r="U413" s="79" t="s">
        <v>2135</v>
      </c>
      <c r="V413" s="79" t="s">
        <v>707</v>
      </c>
      <c r="W413" s="79" t="s">
        <v>2136</v>
      </c>
      <c r="Y413" s="79" t="s">
        <v>2132</v>
      </c>
    </row>
    <row r="414" spans="2:25" ht="12.75" customHeight="1" x14ac:dyDescent="0.2">
      <c r="B414" s="106" t="s">
        <v>1250</v>
      </c>
      <c r="C414" s="106" t="s">
        <v>1250</v>
      </c>
      <c r="D414" s="106" t="s">
        <v>1249</v>
      </c>
      <c r="E414" s="107" t="str">
        <f t="shared" si="13"/>
        <v>KINGSVILLE, OH, 44048</v>
      </c>
      <c r="F414" s="106" t="s">
        <v>1249</v>
      </c>
      <c r="G414" s="106" t="s">
        <v>1251</v>
      </c>
      <c r="H414" s="106" t="s">
        <v>2762</v>
      </c>
      <c r="I414" s="106" t="s">
        <v>2790</v>
      </c>
      <c r="J414" s="106" t="s">
        <v>1252</v>
      </c>
      <c r="K414" s="106" t="s">
        <v>707</v>
      </c>
      <c r="L414" s="106" t="s">
        <v>1253</v>
      </c>
      <c r="N414" s="91">
        <f t="shared" si="14"/>
        <v>1</v>
      </c>
      <c r="O414" s="79" t="s">
        <v>1627</v>
      </c>
      <c r="P414" s="79" t="s">
        <v>1627</v>
      </c>
      <c r="Q414" s="79" t="s">
        <v>1626</v>
      </c>
      <c r="R414" s="79" t="s">
        <v>2834</v>
      </c>
      <c r="S414" s="79" t="s">
        <v>2840</v>
      </c>
      <c r="T414" s="79" t="s">
        <v>1628</v>
      </c>
      <c r="U414" s="79" t="s">
        <v>1629</v>
      </c>
      <c r="V414" s="79" t="s">
        <v>707</v>
      </c>
      <c r="W414" s="79" t="s">
        <v>1630</v>
      </c>
      <c r="Y414" s="79" t="s">
        <v>1626</v>
      </c>
    </row>
    <row r="415" spans="2:25" ht="12.75" customHeight="1" x14ac:dyDescent="0.2">
      <c r="B415" s="106" t="s">
        <v>1293</v>
      </c>
      <c r="C415" s="106" t="s">
        <v>1293</v>
      </c>
      <c r="D415" s="106" t="s">
        <v>1292</v>
      </c>
      <c r="E415" s="107" t="str">
        <f t="shared" si="13"/>
        <v>MINERAL RIDGE, OH, 44440</v>
      </c>
      <c r="F415" s="106" t="s">
        <v>1292</v>
      </c>
      <c r="G415" s="106" t="s">
        <v>1294</v>
      </c>
      <c r="H415" s="106" t="s">
        <v>2762</v>
      </c>
      <c r="I415" s="106" t="s">
        <v>2815</v>
      </c>
      <c r="J415" s="106" t="s">
        <v>1295</v>
      </c>
      <c r="K415" s="106" t="s">
        <v>707</v>
      </c>
      <c r="L415" s="106" t="s">
        <v>1296</v>
      </c>
      <c r="N415" s="91">
        <f t="shared" si="14"/>
        <v>2</v>
      </c>
      <c r="O415" s="79" t="s">
        <v>1627</v>
      </c>
      <c r="P415" s="79" t="s">
        <v>1627</v>
      </c>
      <c r="Q415" s="79" t="s">
        <v>2689</v>
      </c>
      <c r="R415" s="79" t="s">
        <v>2834</v>
      </c>
      <c r="S415" s="79" t="s">
        <v>2840</v>
      </c>
      <c r="T415" s="79" t="s">
        <v>1676</v>
      </c>
      <c r="U415" s="79" t="s">
        <v>1629</v>
      </c>
      <c r="V415" s="79" t="s">
        <v>707</v>
      </c>
      <c r="W415" s="79" t="s">
        <v>1630</v>
      </c>
      <c r="Y415" s="79" t="s">
        <v>2689</v>
      </c>
    </row>
    <row r="416" spans="2:25" ht="12.75" customHeight="1" x14ac:dyDescent="0.2">
      <c r="B416" s="106" t="s">
        <v>1950</v>
      </c>
      <c r="C416" s="106" t="s">
        <v>1950</v>
      </c>
      <c r="D416" s="106" t="s">
        <v>1949</v>
      </c>
      <c r="E416" s="107" t="str">
        <f t="shared" si="13"/>
        <v>PETERSBURG, KY, 41080</v>
      </c>
      <c r="F416" s="106" t="s">
        <v>1949</v>
      </c>
      <c r="G416" s="106" t="s">
        <v>1951</v>
      </c>
      <c r="H416" s="106" t="s">
        <v>2770</v>
      </c>
      <c r="I416" s="106" t="s">
        <v>2764</v>
      </c>
      <c r="J416" s="106" t="s">
        <v>1303</v>
      </c>
      <c r="K416" s="106" t="s">
        <v>1920</v>
      </c>
      <c r="L416" s="106" t="s">
        <v>1952</v>
      </c>
      <c r="N416" s="91">
        <f t="shared" si="14"/>
        <v>3</v>
      </c>
      <c r="O416" s="79" t="s">
        <v>1627</v>
      </c>
      <c r="P416" s="79" t="s">
        <v>1627</v>
      </c>
      <c r="Q416" s="79" t="s">
        <v>2690</v>
      </c>
      <c r="R416" s="79" t="s">
        <v>2834</v>
      </c>
      <c r="S416" s="79" t="s">
        <v>2840</v>
      </c>
      <c r="T416" s="79" t="s">
        <v>1676</v>
      </c>
      <c r="U416" s="79" t="s">
        <v>1629</v>
      </c>
      <c r="V416" s="79" t="s">
        <v>707</v>
      </c>
      <c r="W416" s="79" t="s">
        <v>1630</v>
      </c>
      <c r="Y416" s="79" t="s">
        <v>2690</v>
      </c>
    </row>
    <row r="417" spans="2:25" ht="12.75" customHeight="1" x14ac:dyDescent="0.2">
      <c r="B417" s="143" t="s">
        <v>1950</v>
      </c>
      <c r="C417" s="143" t="s">
        <v>1950</v>
      </c>
      <c r="D417" s="143" t="s">
        <v>2717</v>
      </c>
      <c r="E417" s="107" t="str">
        <f t="shared" si="13"/>
        <v>PETERSBURG, KY, 41080</v>
      </c>
      <c r="F417" s="143" t="s">
        <v>2717</v>
      </c>
      <c r="G417" s="143" t="s">
        <v>1951</v>
      </c>
      <c r="H417" s="143" t="s">
        <v>2770</v>
      </c>
      <c r="I417" s="143" t="s">
        <v>2764</v>
      </c>
      <c r="J417" s="143" t="s">
        <v>1303</v>
      </c>
      <c r="K417" s="143" t="s">
        <v>1920</v>
      </c>
      <c r="L417" s="143" t="s">
        <v>1952</v>
      </c>
      <c r="N417" s="91">
        <f t="shared" si="14"/>
        <v>1</v>
      </c>
      <c r="O417" s="79" t="s">
        <v>1675</v>
      </c>
      <c r="P417" s="79" t="s">
        <v>1675</v>
      </c>
      <c r="Q417" s="79" t="s">
        <v>1674</v>
      </c>
      <c r="R417" s="79" t="s">
        <v>2834</v>
      </c>
      <c r="S417" s="79" t="s">
        <v>2840</v>
      </c>
      <c r="T417" s="79" t="s">
        <v>1676</v>
      </c>
      <c r="U417" s="79" t="s">
        <v>1629</v>
      </c>
      <c r="V417" s="79" t="s">
        <v>707</v>
      </c>
      <c r="W417" s="79" t="s">
        <v>1630</v>
      </c>
      <c r="Y417" s="79" t="s">
        <v>1674</v>
      </c>
    </row>
    <row r="418" spans="2:25" ht="12.75" customHeight="1" x14ac:dyDescent="0.2">
      <c r="B418" s="106" t="s">
        <v>1857</v>
      </c>
      <c r="C418" s="106" t="s">
        <v>1857</v>
      </c>
      <c r="D418" s="106" t="s">
        <v>1856</v>
      </c>
      <c r="E418" s="107" t="str">
        <f t="shared" si="13"/>
        <v>LEBANON, OH, 45036</v>
      </c>
      <c r="F418" s="106" t="s">
        <v>1856</v>
      </c>
      <c r="G418" s="106" t="s">
        <v>1858</v>
      </c>
      <c r="H418" s="106" t="s">
        <v>2770</v>
      </c>
      <c r="I418" s="106" t="s">
        <v>2828</v>
      </c>
      <c r="J418" s="106" t="s">
        <v>1859</v>
      </c>
      <c r="K418" s="106" t="s">
        <v>707</v>
      </c>
      <c r="L418" s="106" t="s">
        <v>1860</v>
      </c>
      <c r="N418" s="91">
        <f t="shared" si="14"/>
        <v>1</v>
      </c>
      <c r="O418" s="79" t="s">
        <v>1567</v>
      </c>
      <c r="P418" s="79" t="s">
        <v>1567</v>
      </c>
      <c r="Q418" s="79" t="s">
        <v>1566</v>
      </c>
      <c r="R418" s="79" t="s">
        <v>2786</v>
      </c>
      <c r="S418" s="79" t="s">
        <v>2848</v>
      </c>
      <c r="T418" s="79" t="s">
        <v>1568</v>
      </c>
      <c r="U418" s="79" t="s">
        <v>1569</v>
      </c>
      <c r="V418" s="79" t="s">
        <v>707</v>
      </c>
      <c r="W418" s="79" t="s">
        <v>1570</v>
      </c>
      <c r="Y418" s="79" t="s">
        <v>1566</v>
      </c>
    </row>
    <row r="419" spans="2:25" ht="12.75" customHeight="1" x14ac:dyDescent="0.2">
      <c r="B419" s="106" t="s">
        <v>2133</v>
      </c>
      <c r="C419" s="106" t="s">
        <v>2133</v>
      </c>
      <c r="D419" s="106" t="s">
        <v>2132</v>
      </c>
      <c r="E419" s="107" t="str">
        <f t="shared" si="13"/>
        <v>HILLSBORO, OH, 45133</v>
      </c>
      <c r="F419" s="106" t="s">
        <v>2132</v>
      </c>
      <c r="G419" s="106" t="s">
        <v>2134</v>
      </c>
      <c r="H419" s="106" t="s">
        <v>2780</v>
      </c>
      <c r="I419" s="106" t="s">
        <v>2799</v>
      </c>
      <c r="J419" s="106" t="s">
        <v>2135</v>
      </c>
      <c r="K419" s="106" t="s">
        <v>707</v>
      </c>
      <c r="L419" s="106" t="s">
        <v>2136</v>
      </c>
      <c r="N419" s="91">
        <f t="shared" si="14"/>
        <v>2</v>
      </c>
      <c r="O419" s="79" t="s">
        <v>1567</v>
      </c>
      <c r="P419" s="79" t="s">
        <v>1567</v>
      </c>
      <c r="Q419" s="79" t="s">
        <v>2683</v>
      </c>
      <c r="R419" s="79" t="s">
        <v>2786</v>
      </c>
      <c r="S419" s="79" t="s">
        <v>2848</v>
      </c>
      <c r="T419" s="79" t="s">
        <v>1568</v>
      </c>
      <c r="U419" s="79" t="s">
        <v>1569</v>
      </c>
      <c r="V419" s="79" t="s">
        <v>707</v>
      </c>
      <c r="W419" s="79" t="s">
        <v>1570</v>
      </c>
      <c r="Y419" s="79" t="s">
        <v>2683</v>
      </c>
    </row>
    <row r="420" spans="2:25" ht="12.75" customHeight="1" x14ac:dyDescent="0.2">
      <c r="B420" s="106" t="s">
        <v>1627</v>
      </c>
      <c r="C420" s="106" t="s">
        <v>1627</v>
      </c>
      <c r="D420" s="106" t="s">
        <v>1626</v>
      </c>
      <c r="E420" s="107" t="str">
        <f t="shared" si="13"/>
        <v>COLUMBUS, OH, 43207</v>
      </c>
      <c r="F420" s="106" t="s">
        <v>1626</v>
      </c>
      <c r="G420" s="106" t="s">
        <v>1628</v>
      </c>
      <c r="H420" s="106" t="s">
        <v>2834</v>
      </c>
      <c r="I420" s="106" t="s">
        <v>2840</v>
      </c>
      <c r="J420" s="106" t="s">
        <v>1629</v>
      </c>
      <c r="K420" s="106" t="s">
        <v>707</v>
      </c>
      <c r="L420" s="106" t="s">
        <v>1630</v>
      </c>
      <c r="N420" s="91">
        <f t="shared" si="14"/>
        <v>1</v>
      </c>
      <c r="O420" s="79" t="s">
        <v>1533</v>
      </c>
      <c r="P420" s="79" t="s">
        <v>1533</v>
      </c>
      <c r="Q420" s="79" t="s">
        <v>1532</v>
      </c>
      <c r="R420" s="79" t="s">
        <v>2786</v>
      </c>
      <c r="S420" s="79" t="s">
        <v>2787</v>
      </c>
      <c r="T420" s="79" t="s">
        <v>1534</v>
      </c>
      <c r="U420" s="79" t="s">
        <v>1525</v>
      </c>
      <c r="V420" s="79" t="s">
        <v>707</v>
      </c>
      <c r="W420" s="79" t="s">
        <v>1535</v>
      </c>
      <c r="Y420" s="79" t="s">
        <v>1532</v>
      </c>
    </row>
    <row r="421" spans="2:25" ht="12.75" customHeight="1" x14ac:dyDescent="0.2">
      <c r="B421" s="143" t="s">
        <v>1627</v>
      </c>
      <c r="C421" s="143" t="s">
        <v>1627</v>
      </c>
      <c r="D421" s="143" t="s">
        <v>2689</v>
      </c>
      <c r="E421" s="107" t="str">
        <f t="shared" si="13"/>
        <v>COLUMBUS, OH, 43207</v>
      </c>
      <c r="F421" s="143" t="s">
        <v>2689</v>
      </c>
      <c r="G421" s="143" t="s">
        <v>1676</v>
      </c>
      <c r="H421" s="143" t="s">
        <v>2834</v>
      </c>
      <c r="I421" s="143" t="s">
        <v>2840</v>
      </c>
      <c r="J421" s="143" t="s">
        <v>1629</v>
      </c>
      <c r="K421" s="143" t="s">
        <v>707</v>
      </c>
      <c r="L421" s="143" t="s">
        <v>1630</v>
      </c>
      <c r="N421" s="91">
        <f t="shared" si="14"/>
        <v>2</v>
      </c>
      <c r="O421" s="79" t="s">
        <v>1533</v>
      </c>
      <c r="P421" s="79" t="s">
        <v>1533</v>
      </c>
      <c r="Q421" s="79" t="s">
        <v>2676</v>
      </c>
      <c r="R421" s="79" t="s">
        <v>2786</v>
      </c>
      <c r="S421" s="79" t="s">
        <v>2787</v>
      </c>
      <c r="T421" s="79" t="s">
        <v>1534</v>
      </c>
      <c r="U421" s="79" t="s">
        <v>1525</v>
      </c>
      <c r="V421" s="79" t="s">
        <v>707</v>
      </c>
      <c r="W421" s="79" t="s">
        <v>1535</v>
      </c>
      <c r="Y421" s="79" t="s">
        <v>2676</v>
      </c>
    </row>
    <row r="422" spans="2:25" ht="12.75" customHeight="1" x14ac:dyDescent="0.2">
      <c r="B422" s="143" t="s">
        <v>1627</v>
      </c>
      <c r="C422" s="143" t="s">
        <v>1627</v>
      </c>
      <c r="D422" s="143" t="s">
        <v>2690</v>
      </c>
      <c r="E422" s="107" t="str">
        <f t="shared" si="13"/>
        <v>COLUMBUS, OH, 43207</v>
      </c>
      <c r="F422" s="143" t="s">
        <v>2690</v>
      </c>
      <c r="G422" s="143" t="s">
        <v>1676</v>
      </c>
      <c r="H422" s="143" t="s">
        <v>2834</v>
      </c>
      <c r="I422" s="143" t="s">
        <v>2840</v>
      </c>
      <c r="J422" s="143" t="s">
        <v>1629</v>
      </c>
      <c r="K422" s="143" t="s">
        <v>707</v>
      </c>
      <c r="L422" s="143" t="s">
        <v>1630</v>
      </c>
      <c r="N422" s="91">
        <f t="shared" si="14"/>
        <v>3</v>
      </c>
      <c r="O422" s="79" t="s">
        <v>1533</v>
      </c>
      <c r="P422" s="79" t="s">
        <v>1533</v>
      </c>
      <c r="Q422" s="79" t="s">
        <v>2677</v>
      </c>
      <c r="R422" s="79" t="s">
        <v>2786</v>
      </c>
      <c r="S422" s="79" t="s">
        <v>2787</v>
      </c>
      <c r="T422" s="79" t="s">
        <v>1534</v>
      </c>
      <c r="U422" s="79" t="s">
        <v>1525</v>
      </c>
      <c r="V422" s="79" t="s">
        <v>707</v>
      </c>
      <c r="W422" s="79" t="s">
        <v>1535</v>
      </c>
      <c r="Y422" s="79" t="s">
        <v>2677</v>
      </c>
    </row>
    <row r="423" spans="2:25" ht="12.75" customHeight="1" x14ac:dyDescent="0.2">
      <c r="B423" s="106" t="s">
        <v>1675</v>
      </c>
      <c r="C423" s="106" t="s">
        <v>1675</v>
      </c>
      <c r="D423" s="106" t="s">
        <v>1674</v>
      </c>
      <c r="E423" s="107" t="str">
        <f t="shared" si="13"/>
        <v>COLUMBUS, OH, 43207</v>
      </c>
      <c r="F423" s="106" t="s">
        <v>1674</v>
      </c>
      <c r="G423" s="106" t="s">
        <v>1676</v>
      </c>
      <c r="H423" s="106" t="s">
        <v>2834</v>
      </c>
      <c r="I423" s="106" t="s">
        <v>2840</v>
      </c>
      <c r="J423" s="106" t="s">
        <v>1629</v>
      </c>
      <c r="K423" s="106" t="s">
        <v>707</v>
      </c>
      <c r="L423" s="106" t="s">
        <v>1630</v>
      </c>
      <c r="N423" s="91">
        <f t="shared" si="14"/>
        <v>1</v>
      </c>
      <c r="O423" s="79" t="s">
        <v>715</v>
      </c>
      <c r="P423" s="79" t="s">
        <v>715</v>
      </c>
      <c r="Q423" s="79" t="s">
        <v>714</v>
      </c>
      <c r="R423" s="79" t="s">
        <v>2804</v>
      </c>
      <c r="S423" s="79" t="s">
        <v>2813</v>
      </c>
      <c r="T423" s="79" t="s">
        <v>716</v>
      </c>
      <c r="U423" s="79" t="s">
        <v>717</v>
      </c>
      <c r="V423" s="79" t="s">
        <v>707</v>
      </c>
      <c r="W423" s="79" t="s">
        <v>718</v>
      </c>
      <c r="Y423" s="79" t="s">
        <v>714</v>
      </c>
    </row>
    <row r="424" spans="2:25" ht="12.75" customHeight="1" x14ac:dyDescent="0.2">
      <c r="B424" s="106" t="s">
        <v>1567</v>
      </c>
      <c r="C424" s="106" t="s">
        <v>1567</v>
      </c>
      <c r="D424" s="106" t="s">
        <v>1566</v>
      </c>
      <c r="E424" s="107" t="str">
        <f t="shared" si="13"/>
        <v>FREDERICKTOWN, OH, 43019</v>
      </c>
      <c r="F424" s="106" t="s">
        <v>1566</v>
      </c>
      <c r="G424" s="106" t="s">
        <v>1568</v>
      </c>
      <c r="H424" s="106" t="s">
        <v>2786</v>
      </c>
      <c r="I424" s="106" t="s">
        <v>2848</v>
      </c>
      <c r="J424" s="106" t="s">
        <v>1569</v>
      </c>
      <c r="K424" s="106" t="s">
        <v>707</v>
      </c>
      <c r="L424" s="106" t="s">
        <v>1570</v>
      </c>
      <c r="N424" s="91">
        <f t="shared" si="14"/>
        <v>2</v>
      </c>
      <c r="O424" s="79" t="s">
        <v>715</v>
      </c>
      <c r="P424" s="79" t="s">
        <v>715</v>
      </c>
      <c r="Q424" s="79" t="s">
        <v>2579</v>
      </c>
      <c r="R424" s="79" t="s">
        <v>2804</v>
      </c>
      <c r="S424" s="79" t="s">
        <v>2813</v>
      </c>
      <c r="T424" s="79" t="s">
        <v>716</v>
      </c>
      <c r="U424" s="79" t="s">
        <v>717</v>
      </c>
      <c r="V424" s="79" t="s">
        <v>707</v>
      </c>
      <c r="W424" s="79" t="s">
        <v>718</v>
      </c>
      <c r="Y424" s="79" t="s">
        <v>2579</v>
      </c>
    </row>
    <row r="425" spans="2:25" ht="12.75" customHeight="1" x14ac:dyDescent="0.2">
      <c r="B425" s="143" t="s">
        <v>1567</v>
      </c>
      <c r="C425" s="143" t="s">
        <v>1567</v>
      </c>
      <c r="D425" s="143" t="s">
        <v>2683</v>
      </c>
      <c r="E425" s="107" t="str">
        <f t="shared" si="13"/>
        <v>FREDERICKTOWN, OH, 43019</v>
      </c>
      <c r="F425" s="143" t="s">
        <v>2683</v>
      </c>
      <c r="G425" s="143" t="s">
        <v>1568</v>
      </c>
      <c r="H425" s="143" t="s">
        <v>2786</v>
      </c>
      <c r="I425" s="143" t="s">
        <v>2848</v>
      </c>
      <c r="J425" s="143" t="s">
        <v>1569</v>
      </c>
      <c r="K425" s="143" t="s">
        <v>707</v>
      </c>
      <c r="L425" s="143" t="s">
        <v>1570</v>
      </c>
      <c r="N425" s="91">
        <f t="shared" si="14"/>
        <v>3</v>
      </c>
      <c r="O425" s="79" t="s">
        <v>715</v>
      </c>
      <c r="P425" s="79" t="s">
        <v>715</v>
      </c>
      <c r="Q425" s="79" t="s">
        <v>2580</v>
      </c>
      <c r="R425" s="79" t="s">
        <v>2804</v>
      </c>
      <c r="S425" s="79" t="s">
        <v>2813</v>
      </c>
      <c r="T425" s="79" t="s">
        <v>716</v>
      </c>
      <c r="U425" s="79" t="s">
        <v>717</v>
      </c>
      <c r="V425" s="79" t="s">
        <v>707</v>
      </c>
      <c r="W425" s="79" t="s">
        <v>718</v>
      </c>
      <c r="Y425" s="79" t="s">
        <v>2580</v>
      </c>
    </row>
    <row r="426" spans="2:25" ht="12.75" customHeight="1" x14ac:dyDescent="0.2">
      <c r="B426" s="106" t="s">
        <v>1533</v>
      </c>
      <c r="C426" s="106" t="s">
        <v>1533</v>
      </c>
      <c r="D426" s="106" t="s">
        <v>1532</v>
      </c>
      <c r="E426" s="107" t="str">
        <f t="shared" si="13"/>
        <v>ST. LOUISVILLE, OH, 43071</v>
      </c>
      <c r="F426" s="106" t="s">
        <v>1532</v>
      </c>
      <c r="G426" s="106" t="s">
        <v>1534</v>
      </c>
      <c r="H426" s="106" t="s">
        <v>2786</v>
      </c>
      <c r="I426" s="106" t="s">
        <v>2787</v>
      </c>
      <c r="J426" s="106" t="s">
        <v>1525</v>
      </c>
      <c r="K426" s="106" t="s">
        <v>707</v>
      </c>
      <c r="L426" s="106" t="s">
        <v>1535</v>
      </c>
      <c r="N426" s="91">
        <f t="shared" si="14"/>
        <v>1</v>
      </c>
      <c r="O426" s="79" t="s">
        <v>1247</v>
      </c>
      <c r="P426" s="79" t="s">
        <v>1247</v>
      </c>
      <c r="Q426" s="79" t="s">
        <v>1246</v>
      </c>
      <c r="R426" s="79" t="s">
        <v>2767</v>
      </c>
      <c r="S426" s="79" t="s">
        <v>2842</v>
      </c>
      <c r="T426" s="79" t="s">
        <v>1248</v>
      </c>
      <c r="U426" s="79" t="s">
        <v>768</v>
      </c>
      <c r="V426" s="79" t="s">
        <v>707</v>
      </c>
      <c r="W426" s="79" t="s">
        <v>769</v>
      </c>
      <c r="Y426" s="79" t="s">
        <v>1246</v>
      </c>
    </row>
    <row r="427" spans="2:25" ht="12.75" customHeight="1" x14ac:dyDescent="0.2">
      <c r="B427" s="143" t="s">
        <v>1533</v>
      </c>
      <c r="C427" s="143" t="s">
        <v>1533</v>
      </c>
      <c r="D427" s="143" t="s">
        <v>2676</v>
      </c>
      <c r="E427" s="107" t="str">
        <f t="shared" si="13"/>
        <v>ST. LOUISVILLE, OH, 43071</v>
      </c>
      <c r="F427" s="143" t="s">
        <v>2676</v>
      </c>
      <c r="G427" s="143" t="s">
        <v>1534</v>
      </c>
      <c r="H427" s="143" t="s">
        <v>2786</v>
      </c>
      <c r="I427" s="143" t="s">
        <v>2787</v>
      </c>
      <c r="J427" s="143" t="s">
        <v>1525</v>
      </c>
      <c r="K427" s="143" t="s">
        <v>707</v>
      </c>
      <c r="L427" s="143" t="s">
        <v>1535</v>
      </c>
      <c r="N427" s="91">
        <f t="shared" si="14"/>
        <v>2</v>
      </c>
      <c r="O427" s="79" t="s">
        <v>1247</v>
      </c>
      <c r="P427" s="79" t="s">
        <v>1247</v>
      </c>
      <c r="Q427" s="79" t="s">
        <v>2663</v>
      </c>
      <c r="R427" s="79" t="s">
        <v>2767</v>
      </c>
      <c r="S427" s="79" t="s">
        <v>2842</v>
      </c>
      <c r="T427" s="79" t="s">
        <v>1248</v>
      </c>
      <c r="U427" s="79" t="s">
        <v>768</v>
      </c>
      <c r="V427" s="79" t="s">
        <v>707</v>
      </c>
      <c r="W427" s="79" t="s">
        <v>769</v>
      </c>
      <c r="Y427" s="79" t="s">
        <v>2663</v>
      </c>
    </row>
    <row r="428" spans="2:25" ht="12.75" customHeight="1" x14ac:dyDescent="0.2">
      <c r="B428" s="143" t="s">
        <v>1533</v>
      </c>
      <c r="C428" s="143" t="s">
        <v>1533</v>
      </c>
      <c r="D428" s="143" t="s">
        <v>2677</v>
      </c>
      <c r="E428" s="107" t="str">
        <f t="shared" si="13"/>
        <v>ST. LOUISVILLE, OH, 43071</v>
      </c>
      <c r="F428" s="143" t="s">
        <v>2677</v>
      </c>
      <c r="G428" s="143" t="s">
        <v>1534</v>
      </c>
      <c r="H428" s="143" t="s">
        <v>2786</v>
      </c>
      <c r="I428" s="143" t="s">
        <v>2787</v>
      </c>
      <c r="J428" s="143" t="s">
        <v>1525</v>
      </c>
      <c r="K428" s="143" t="s">
        <v>707</v>
      </c>
      <c r="L428" s="143" t="s">
        <v>1535</v>
      </c>
      <c r="N428" s="91">
        <f t="shared" si="14"/>
        <v>1</v>
      </c>
      <c r="O428" s="79" t="s">
        <v>1142</v>
      </c>
      <c r="P428" s="79" t="s">
        <v>1142</v>
      </c>
      <c r="Q428" s="79" t="s">
        <v>1141</v>
      </c>
      <c r="R428" s="79" t="s">
        <v>2770</v>
      </c>
      <c r="S428" s="79" t="s">
        <v>2789</v>
      </c>
      <c r="T428" s="79" t="s">
        <v>1143</v>
      </c>
      <c r="U428" s="79" t="s">
        <v>1144</v>
      </c>
      <c r="V428" s="79" t="s">
        <v>707</v>
      </c>
      <c r="W428" s="79" t="s">
        <v>1145</v>
      </c>
      <c r="Y428" s="79" t="s">
        <v>1141</v>
      </c>
    </row>
    <row r="429" spans="2:25" ht="12.75" customHeight="1" x14ac:dyDescent="0.2">
      <c r="B429" s="106" t="s">
        <v>715</v>
      </c>
      <c r="C429" s="106" t="s">
        <v>715</v>
      </c>
      <c r="D429" s="106" t="s">
        <v>714</v>
      </c>
      <c r="E429" s="107" t="str">
        <f t="shared" si="13"/>
        <v>UPPER SANDUSKY, OH, 43351</v>
      </c>
      <c r="F429" s="106" t="s">
        <v>714</v>
      </c>
      <c r="G429" s="106" t="s">
        <v>716</v>
      </c>
      <c r="H429" s="106" t="s">
        <v>2804</v>
      </c>
      <c r="I429" s="106" t="s">
        <v>2813</v>
      </c>
      <c r="J429" s="106" t="s">
        <v>717</v>
      </c>
      <c r="K429" s="106" t="s">
        <v>707</v>
      </c>
      <c r="L429" s="106" t="s">
        <v>718</v>
      </c>
      <c r="N429" s="91">
        <f t="shared" si="14"/>
        <v>1</v>
      </c>
      <c r="O429" s="79" t="s">
        <v>1128</v>
      </c>
      <c r="P429" s="79" t="s">
        <v>1128</v>
      </c>
      <c r="Q429" s="79" t="s">
        <v>1127</v>
      </c>
      <c r="R429" s="79" t="s">
        <v>2759</v>
      </c>
      <c r="S429" s="79" t="s">
        <v>2760</v>
      </c>
      <c r="T429" s="79" t="s">
        <v>954</v>
      </c>
      <c r="U429" s="79" t="s">
        <v>843</v>
      </c>
      <c r="V429" s="79" t="s">
        <v>707</v>
      </c>
      <c r="W429" s="79" t="s">
        <v>955</v>
      </c>
      <c r="Y429" s="79" t="s">
        <v>1127</v>
      </c>
    </row>
    <row r="430" spans="2:25" ht="12.75" customHeight="1" x14ac:dyDescent="0.2">
      <c r="B430" s="106" t="s">
        <v>715</v>
      </c>
      <c r="C430" s="106" t="s">
        <v>715</v>
      </c>
      <c r="D430" s="106" t="s">
        <v>2579</v>
      </c>
      <c r="E430" s="107" t="str">
        <f t="shared" si="13"/>
        <v>UPPER SANDUSKY, OH, 43351</v>
      </c>
      <c r="F430" s="106" t="s">
        <v>2579</v>
      </c>
      <c r="G430" s="106" t="s">
        <v>716</v>
      </c>
      <c r="H430" s="106" t="s">
        <v>2804</v>
      </c>
      <c r="I430" s="106" t="s">
        <v>2813</v>
      </c>
      <c r="J430" s="106" t="s">
        <v>717</v>
      </c>
      <c r="K430" s="106" t="s">
        <v>707</v>
      </c>
      <c r="L430" s="106" t="s">
        <v>718</v>
      </c>
      <c r="N430" s="91">
        <f t="shared" si="14"/>
        <v>1</v>
      </c>
      <c r="O430" s="79" t="s">
        <v>1137</v>
      </c>
      <c r="P430" s="79" t="s">
        <v>1137</v>
      </c>
      <c r="Q430" s="79" t="s">
        <v>1136</v>
      </c>
      <c r="R430" s="79" t="s">
        <v>2772</v>
      </c>
      <c r="S430" s="79" t="s">
        <v>2788</v>
      </c>
      <c r="T430" s="79" t="s">
        <v>1138</v>
      </c>
      <c r="U430" s="79" t="s">
        <v>1139</v>
      </c>
      <c r="V430" s="79" t="s">
        <v>707</v>
      </c>
      <c r="W430" s="79" t="s">
        <v>1140</v>
      </c>
      <c r="Y430" s="79" t="s">
        <v>1136</v>
      </c>
    </row>
    <row r="431" spans="2:25" ht="12.75" customHeight="1" x14ac:dyDescent="0.2">
      <c r="B431" s="106" t="s">
        <v>715</v>
      </c>
      <c r="C431" s="106" t="s">
        <v>715</v>
      </c>
      <c r="D431" s="106" t="s">
        <v>2580</v>
      </c>
      <c r="E431" s="107" t="str">
        <f t="shared" si="13"/>
        <v>UPPER SANDUSKY, OH, 43351</v>
      </c>
      <c r="F431" s="106" t="s">
        <v>2580</v>
      </c>
      <c r="G431" s="106" t="s">
        <v>716</v>
      </c>
      <c r="H431" s="106" t="s">
        <v>2804</v>
      </c>
      <c r="I431" s="106" t="s">
        <v>2813</v>
      </c>
      <c r="J431" s="106" t="s">
        <v>717</v>
      </c>
      <c r="K431" s="106" t="s">
        <v>707</v>
      </c>
      <c r="L431" s="106" t="s">
        <v>718</v>
      </c>
      <c r="N431" s="91">
        <f t="shared" si="14"/>
        <v>1</v>
      </c>
      <c r="O431" s="79" t="s">
        <v>1126</v>
      </c>
      <c r="P431" s="79" t="s">
        <v>1126</v>
      </c>
      <c r="Q431" s="79" t="s">
        <v>1125</v>
      </c>
      <c r="R431" s="79" t="s">
        <v>2759</v>
      </c>
      <c r="S431" s="79" t="s">
        <v>2760</v>
      </c>
      <c r="T431" s="79" t="s">
        <v>954</v>
      </c>
      <c r="U431" s="79" t="s">
        <v>843</v>
      </c>
      <c r="V431" s="79" t="s">
        <v>707</v>
      </c>
      <c r="W431" s="79" t="s">
        <v>955</v>
      </c>
      <c r="Y431" s="79" t="s">
        <v>1125</v>
      </c>
    </row>
    <row r="432" spans="2:25" ht="12.75" customHeight="1" x14ac:dyDescent="0.2">
      <c r="B432" s="106" t="s">
        <v>1247</v>
      </c>
      <c r="C432" s="106" t="s">
        <v>1247</v>
      </c>
      <c r="D432" s="106" t="s">
        <v>1246</v>
      </c>
      <c r="E432" s="107" t="str">
        <f t="shared" si="13"/>
        <v>WOOSTER, OH, 44691</v>
      </c>
      <c r="F432" s="106" t="s">
        <v>1246</v>
      </c>
      <c r="G432" s="106" t="s">
        <v>1248</v>
      </c>
      <c r="H432" s="106" t="s">
        <v>2767</v>
      </c>
      <c r="I432" s="106" t="s">
        <v>2842</v>
      </c>
      <c r="J432" s="106" t="s">
        <v>768</v>
      </c>
      <c r="K432" s="106" t="s">
        <v>707</v>
      </c>
      <c r="L432" s="106" t="s">
        <v>769</v>
      </c>
      <c r="N432" s="91">
        <f t="shared" si="14"/>
        <v>1</v>
      </c>
      <c r="O432" s="79" t="s">
        <v>1132</v>
      </c>
      <c r="P432" s="79" t="s">
        <v>1132</v>
      </c>
      <c r="Q432" s="79" t="s">
        <v>1131</v>
      </c>
      <c r="R432" s="79" t="s">
        <v>2782</v>
      </c>
      <c r="S432" s="79" t="s">
        <v>2839</v>
      </c>
      <c r="T432" s="79" t="s">
        <v>1133</v>
      </c>
      <c r="U432" s="79" t="s">
        <v>1134</v>
      </c>
      <c r="V432" s="79" t="s">
        <v>707</v>
      </c>
      <c r="W432" s="79" t="s">
        <v>1135</v>
      </c>
      <c r="Y432" s="79" t="s">
        <v>1131</v>
      </c>
    </row>
    <row r="433" spans="2:25" ht="12.75" customHeight="1" x14ac:dyDescent="0.2">
      <c r="B433" s="143" t="s">
        <v>1247</v>
      </c>
      <c r="C433" s="143" t="s">
        <v>1247</v>
      </c>
      <c r="D433" s="143" t="s">
        <v>2663</v>
      </c>
      <c r="E433" s="107" t="str">
        <f t="shared" si="13"/>
        <v>WOOSTER, OH, 44691</v>
      </c>
      <c r="F433" s="143" t="s">
        <v>2663</v>
      </c>
      <c r="G433" s="143" t="s">
        <v>1248</v>
      </c>
      <c r="H433" s="143" t="s">
        <v>2767</v>
      </c>
      <c r="I433" s="143" t="s">
        <v>2842</v>
      </c>
      <c r="J433" s="143" t="s">
        <v>768</v>
      </c>
      <c r="K433" s="143" t="s">
        <v>707</v>
      </c>
      <c r="L433" s="143" t="s">
        <v>769</v>
      </c>
      <c r="N433" s="91">
        <f t="shared" si="14"/>
        <v>1</v>
      </c>
      <c r="O433" s="79" t="s">
        <v>1130</v>
      </c>
      <c r="P433" s="79" t="s">
        <v>1130</v>
      </c>
      <c r="Q433" s="79" t="s">
        <v>1129</v>
      </c>
      <c r="R433" s="79" t="s">
        <v>2759</v>
      </c>
      <c r="S433" s="79" t="s">
        <v>2760</v>
      </c>
      <c r="T433" s="79" t="s">
        <v>964</v>
      </c>
      <c r="U433" s="79" t="s">
        <v>965</v>
      </c>
      <c r="V433" s="79" t="s">
        <v>707</v>
      </c>
      <c r="W433" s="79" t="s">
        <v>966</v>
      </c>
      <c r="Y433" s="79" t="s">
        <v>1129</v>
      </c>
    </row>
    <row r="434" spans="2:25" ht="12.75" customHeight="1" x14ac:dyDescent="0.2">
      <c r="B434" s="106" t="s">
        <v>1142</v>
      </c>
      <c r="C434" s="106" t="s">
        <v>1142</v>
      </c>
      <c r="D434" s="106" t="s">
        <v>1141</v>
      </c>
      <c r="E434" s="107" t="str">
        <f t="shared" si="13"/>
        <v>CINCINNATI, OH, 45226</v>
      </c>
      <c r="F434" s="106" t="s">
        <v>1141</v>
      </c>
      <c r="G434" s="106" t="s">
        <v>1143</v>
      </c>
      <c r="H434" s="106" t="s">
        <v>2770</v>
      </c>
      <c r="I434" s="106" t="s">
        <v>2789</v>
      </c>
      <c r="J434" s="106" t="s">
        <v>1144</v>
      </c>
      <c r="K434" s="106" t="s">
        <v>707</v>
      </c>
      <c r="L434" s="106" t="s">
        <v>1145</v>
      </c>
      <c r="N434" s="91">
        <f t="shared" si="14"/>
        <v>1</v>
      </c>
      <c r="O434" s="79" t="s">
        <v>1276</v>
      </c>
      <c r="P434" s="79" t="s">
        <v>1276</v>
      </c>
      <c r="Q434" s="79" t="s">
        <v>1275</v>
      </c>
      <c r="R434" s="79" t="s">
        <v>2767</v>
      </c>
      <c r="S434" s="79" t="s">
        <v>2768</v>
      </c>
      <c r="T434" s="79" t="s">
        <v>1277</v>
      </c>
      <c r="U434" s="79" t="s">
        <v>835</v>
      </c>
      <c r="V434" s="79" t="s">
        <v>707</v>
      </c>
      <c r="W434" s="79" t="s">
        <v>836</v>
      </c>
      <c r="Y434" s="79" t="s">
        <v>1275</v>
      </c>
    </row>
    <row r="435" spans="2:25" ht="12.75" customHeight="1" x14ac:dyDescent="0.2">
      <c r="B435" s="106" t="s">
        <v>1128</v>
      </c>
      <c r="C435" s="106" t="s">
        <v>1128</v>
      </c>
      <c r="D435" s="106" t="s">
        <v>1127</v>
      </c>
      <c r="E435" s="107" t="str">
        <f t="shared" si="13"/>
        <v>CLEVELAND, OH, 44113</v>
      </c>
      <c r="F435" s="106" t="s">
        <v>1127</v>
      </c>
      <c r="G435" s="106" t="s">
        <v>954</v>
      </c>
      <c r="H435" s="106" t="s">
        <v>2759</v>
      </c>
      <c r="I435" s="106" t="s">
        <v>2760</v>
      </c>
      <c r="J435" s="106" t="s">
        <v>843</v>
      </c>
      <c r="K435" s="106" t="s">
        <v>707</v>
      </c>
      <c r="L435" s="106" t="s">
        <v>955</v>
      </c>
      <c r="N435" s="91">
        <f t="shared" si="14"/>
        <v>1</v>
      </c>
      <c r="O435" s="79" t="s">
        <v>1271</v>
      </c>
      <c r="P435" s="79" t="s">
        <v>1271</v>
      </c>
      <c r="Q435" s="79" t="s">
        <v>1270</v>
      </c>
      <c r="R435" s="79" t="s">
        <v>2762</v>
      </c>
      <c r="S435" s="79" t="s">
        <v>2774</v>
      </c>
      <c r="T435" s="79" t="s">
        <v>1272</v>
      </c>
      <c r="U435" s="79" t="s">
        <v>1273</v>
      </c>
      <c r="V435" s="79" t="s">
        <v>707</v>
      </c>
      <c r="W435" s="79" t="s">
        <v>1274</v>
      </c>
      <c r="Y435" s="79" t="s">
        <v>1270</v>
      </c>
    </row>
    <row r="436" spans="2:25" ht="12.75" customHeight="1" x14ac:dyDescent="0.2">
      <c r="B436" s="106" t="s">
        <v>1137</v>
      </c>
      <c r="C436" s="106" t="s">
        <v>1137</v>
      </c>
      <c r="D436" s="106" t="s">
        <v>1136</v>
      </c>
      <c r="E436" s="107" t="str">
        <f t="shared" si="13"/>
        <v>TOLEDO, OH, 43605</v>
      </c>
      <c r="F436" s="106" t="s">
        <v>1136</v>
      </c>
      <c r="G436" s="106" t="s">
        <v>1138</v>
      </c>
      <c r="H436" s="106" t="s">
        <v>2772</v>
      </c>
      <c r="I436" s="106" t="s">
        <v>2788</v>
      </c>
      <c r="J436" s="106" t="s">
        <v>1139</v>
      </c>
      <c r="K436" s="106" t="s">
        <v>707</v>
      </c>
      <c r="L436" s="106" t="s">
        <v>1140</v>
      </c>
      <c r="N436" s="91">
        <f t="shared" si="14"/>
        <v>1</v>
      </c>
      <c r="O436" s="79" t="s">
        <v>2374</v>
      </c>
      <c r="P436" s="79" t="s">
        <v>2374</v>
      </c>
      <c r="Q436" s="79" t="s">
        <v>2373</v>
      </c>
      <c r="R436" s="79" t="s">
        <v>2791</v>
      </c>
      <c r="S436" s="79" t="s">
        <v>2812</v>
      </c>
      <c r="T436" s="79" t="s">
        <v>2375</v>
      </c>
      <c r="U436" s="79" t="s">
        <v>2376</v>
      </c>
      <c r="V436" s="79" t="s">
        <v>707</v>
      </c>
      <c r="W436" s="79" t="s">
        <v>2377</v>
      </c>
      <c r="Y436" s="79" t="s">
        <v>2373</v>
      </c>
    </row>
    <row r="437" spans="2:25" ht="12.75" customHeight="1" x14ac:dyDescent="0.2">
      <c r="B437" s="106" t="s">
        <v>1126</v>
      </c>
      <c r="C437" s="106" t="s">
        <v>1126</v>
      </c>
      <c r="D437" s="106" t="s">
        <v>1125</v>
      </c>
      <c r="E437" s="107" t="str">
        <f t="shared" si="13"/>
        <v>CLEVELAND, OH, 44113</v>
      </c>
      <c r="F437" s="106" t="s">
        <v>1125</v>
      </c>
      <c r="G437" s="106" t="s">
        <v>954</v>
      </c>
      <c r="H437" s="106" t="s">
        <v>2759</v>
      </c>
      <c r="I437" s="106" t="s">
        <v>2760</v>
      </c>
      <c r="J437" s="106" t="s">
        <v>843</v>
      </c>
      <c r="K437" s="106" t="s">
        <v>707</v>
      </c>
      <c r="L437" s="106" t="s">
        <v>955</v>
      </c>
      <c r="N437" s="91">
        <f t="shared" si="14"/>
        <v>1</v>
      </c>
      <c r="O437" s="79" t="s">
        <v>1333</v>
      </c>
      <c r="P437" s="79" t="s">
        <v>1333</v>
      </c>
      <c r="Q437" s="79" t="s">
        <v>1332</v>
      </c>
      <c r="R437" s="79" t="s">
        <v>2762</v>
      </c>
      <c r="S437" s="79" t="s">
        <v>2766</v>
      </c>
      <c r="T437" s="79" t="s">
        <v>1334</v>
      </c>
      <c r="U437" s="79" t="s">
        <v>885</v>
      </c>
      <c r="V437" s="79" t="s">
        <v>707</v>
      </c>
      <c r="W437" s="79" t="s">
        <v>1257</v>
      </c>
      <c r="Y437" s="79" t="s">
        <v>1332</v>
      </c>
    </row>
    <row r="438" spans="2:25" ht="12.75" customHeight="1" x14ac:dyDescent="0.2">
      <c r="B438" s="106" t="s">
        <v>1132</v>
      </c>
      <c r="C438" s="106" t="s">
        <v>1132</v>
      </c>
      <c r="D438" s="106" t="s">
        <v>1131</v>
      </c>
      <c r="E438" s="107" t="str">
        <f t="shared" si="13"/>
        <v>GALLIPOLIS, OH, 45631</v>
      </c>
      <c r="F438" s="106" t="s">
        <v>1131</v>
      </c>
      <c r="G438" s="106" t="s">
        <v>1133</v>
      </c>
      <c r="H438" s="106" t="s">
        <v>2782</v>
      </c>
      <c r="I438" s="106" t="s">
        <v>2839</v>
      </c>
      <c r="J438" s="106" t="s">
        <v>1134</v>
      </c>
      <c r="K438" s="106" t="s">
        <v>707</v>
      </c>
      <c r="L438" s="106" t="s">
        <v>1135</v>
      </c>
      <c r="N438" s="91">
        <f t="shared" si="14"/>
        <v>1</v>
      </c>
      <c r="O438" s="79" t="s">
        <v>1336</v>
      </c>
      <c r="P438" s="79" t="s">
        <v>1336</v>
      </c>
      <c r="Q438" s="79" t="s">
        <v>1335</v>
      </c>
      <c r="R438" s="79" t="s">
        <v>2767</v>
      </c>
      <c r="S438" s="79" t="s">
        <v>2768</v>
      </c>
      <c r="T438" s="79" t="s">
        <v>1337</v>
      </c>
      <c r="U438" s="79" t="s">
        <v>1338</v>
      </c>
      <c r="V438" s="79" t="s">
        <v>707</v>
      </c>
      <c r="W438" s="79" t="s">
        <v>1339</v>
      </c>
      <c r="Y438" s="79" t="s">
        <v>1335</v>
      </c>
    </row>
    <row r="439" spans="2:25" ht="12.75" customHeight="1" x14ac:dyDescent="0.2">
      <c r="B439" s="106" t="s">
        <v>1130</v>
      </c>
      <c r="C439" s="106" t="s">
        <v>1130</v>
      </c>
      <c r="D439" s="106" t="s">
        <v>1129</v>
      </c>
      <c r="E439" s="107" t="str">
        <f t="shared" si="13"/>
        <v>GRAND RIVER, OH, 44045</v>
      </c>
      <c r="F439" s="106" t="s">
        <v>1129</v>
      </c>
      <c r="G439" s="106" t="s">
        <v>964</v>
      </c>
      <c r="H439" s="106" t="s">
        <v>2759</v>
      </c>
      <c r="I439" s="106" t="s">
        <v>2760</v>
      </c>
      <c r="J439" s="106" t="s">
        <v>965</v>
      </c>
      <c r="K439" s="106" t="s">
        <v>707</v>
      </c>
      <c r="L439" s="106" t="s">
        <v>966</v>
      </c>
      <c r="N439" s="91">
        <f t="shared" si="14"/>
        <v>1</v>
      </c>
      <c r="O439" s="79" t="s">
        <v>1341</v>
      </c>
      <c r="P439" s="79" t="s">
        <v>1341</v>
      </c>
      <c r="Q439" s="79" t="s">
        <v>1340</v>
      </c>
      <c r="R439" s="79" t="s">
        <v>2767</v>
      </c>
      <c r="S439" s="79" t="s">
        <v>2768</v>
      </c>
      <c r="T439" s="79" t="s">
        <v>1277</v>
      </c>
      <c r="U439" s="79" t="s">
        <v>835</v>
      </c>
      <c r="V439" s="79" t="s">
        <v>707</v>
      </c>
      <c r="W439" s="79" t="s">
        <v>836</v>
      </c>
      <c r="Y439" s="79" t="s">
        <v>1340</v>
      </c>
    </row>
    <row r="440" spans="2:25" ht="12.75" customHeight="1" x14ac:dyDescent="0.2">
      <c r="B440" s="106" t="s">
        <v>1276</v>
      </c>
      <c r="C440" s="106" t="s">
        <v>1276</v>
      </c>
      <c r="D440" s="106" t="s">
        <v>1275</v>
      </c>
      <c r="E440" s="107" t="str">
        <f t="shared" si="13"/>
        <v>MEDINA, OH, 44256</v>
      </c>
      <c r="F440" s="106" t="s">
        <v>1275</v>
      </c>
      <c r="G440" s="106" t="s">
        <v>1277</v>
      </c>
      <c r="H440" s="106" t="s">
        <v>2767</v>
      </c>
      <c r="I440" s="106" t="s">
        <v>2768</v>
      </c>
      <c r="J440" s="106" t="s">
        <v>835</v>
      </c>
      <c r="K440" s="106" t="s">
        <v>707</v>
      </c>
      <c r="L440" s="106" t="s">
        <v>836</v>
      </c>
      <c r="N440" s="91">
        <f t="shared" si="14"/>
        <v>1</v>
      </c>
      <c r="O440" s="79" t="s">
        <v>1726</v>
      </c>
      <c r="P440" s="79" t="s">
        <v>1726</v>
      </c>
      <c r="Q440" s="79" t="s">
        <v>1725</v>
      </c>
      <c r="R440" s="79" t="s">
        <v>2775</v>
      </c>
      <c r="S440" s="79" t="s">
        <v>2777</v>
      </c>
      <c r="T440" s="79" t="s">
        <v>1727</v>
      </c>
      <c r="U440" s="79" t="s">
        <v>1728</v>
      </c>
      <c r="V440" s="79" t="s">
        <v>707</v>
      </c>
      <c r="W440" s="79" t="s">
        <v>1729</v>
      </c>
      <c r="Y440" s="79" t="s">
        <v>1725</v>
      </c>
    </row>
    <row r="441" spans="2:25" ht="12.75" customHeight="1" x14ac:dyDescent="0.2">
      <c r="B441" s="106" t="s">
        <v>1271</v>
      </c>
      <c r="C441" s="106" t="s">
        <v>1271</v>
      </c>
      <c r="D441" s="106" t="s">
        <v>1270</v>
      </c>
      <c r="E441" s="107" t="str">
        <f t="shared" si="13"/>
        <v>MANTUA, OH, 44255</v>
      </c>
      <c r="F441" s="106" t="s">
        <v>1270</v>
      </c>
      <c r="G441" s="106" t="s">
        <v>3074</v>
      </c>
      <c r="H441" s="106" t="s">
        <v>2762</v>
      </c>
      <c r="I441" s="106" t="s">
        <v>2774</v>
      </c>
      <c r="J441" s="106" t="s">
        <v>1273</v>
      </c>
      <c r="K441" s="106" t="s">
        <v>707</v>
      </c>
      <c r="L441" s="106" t="s">
        <v>1274</v>
      </c>
      <c r="N441" s="91">
        <f t="shared" si="14"/>
        <v>1</v>
      </c>
      <c r="O441" s="79" t="s">
        <v>1862</v>
      </c>
      <c r="P441" s="79" t="s">
        <v>1862</v>
      </c>
      <c r="Q441" s="79" t="s">
        <v>1861</v>
      </c>
      <c r="R441" s="79" t="s">
        <v>2770</v>
      </c>
      <c r="S441" s="79" t="s">
        <v>2826</v>
      </c>
      <c r="T441" s="79" t="s">
        <v>1863</v>
      </c>
      <c r="U441" s="79" t="s">
        <v>1822</v>
      </c>
      <c r="V441" s="79" t="s">
        <v>707</v>
      </c>
      <c r="W441" s="79" t="s">
        <v>1823</v>
      </c>
      <c r="Y441" s="79" t="s">
        <v>1861</v>
      </c>
    </row>
    <row r="442" spans="2:25" ht="12.75" customHeight="1" x14ac:dyDescent="0.2">
      <c r="B442" s="106" t="s">
        <v>2374</v>
      </c>
      <c r="C442" s="106" t="s">
        <v>2374</v>
      </c>
      <c r="D442" s="106" t="s">
        <v>2373</v>
      </c>
      <c r="E442" s="107" t="str">
        <f t="shared" si="13"/>
        <v>BOLIVAR, OH, 44612</v>
      </c>
      <c r="F442" s="106" t="s">
        <v>2373</v>
      </c>
      <c r="G442" s="106" t="s">
        <v>2375</v>
      </c>
      <c r="H442" s="106" t="s">
        <v>2791</v>
      </c>
      <c r="I442" s="106" t="s">
        <v>2812</v>
      </c>
      <c r="J442" s="106" t="s">
        <v>2376</v>
      </c>
      <c r="K442" s="106" t="s">
        <v>707</v>
      </c>
      <c r="L442" s="106" t="s">
        <v>2377</v>
      </c>
      <c r="N442" s="91">
        <f t="shared" si="14"/>
        <v>1</v>
      </c>
      <c r="O442" s="79" t="s">
        <v>2434</v>
      </c>
      <c r="P442" s="79" t="s">
        <v>2434</v>
      </c>
      <c r="Q442" s="79" t="s">
        <v>2433</v>
      </c>
      <c r="R442" s="79" t="s">
        <v>2791</v>
      </c>
      <c r="S442" s="79" t="s">
        <v>2849</v>
      </c>
      <c r="T442" s="79" t="s">
        <v>2435</v>
      </c>
      <c r="U442" s="79" t="s">
        <v>2436</v>
      </c>
      <c r="V442" s="79" t="s">
        <v>707</v>
      </c>
      <c r="W442" s="79" t="s">
        <v>2437</v>
      </c>
      <c r="Y442" s="79" t="s">
        <v>2433</v>
      </c>
    </row>
    <row r="443" spans="2:25" ht="12.75" customHeight="1" x14ac:dyDescent="0.2">
      <c r="B443" s="106" t="s">
        <v>1333</v>
      </c>
      <c r="C443" s="106" t="s">
        <v>1333</v>
      </c>
      <c r="D443" s="106" t="s">
        <v>1332</v>
      </c>
      <c r="E443" s="107" t="str">
        <f t="shared" si="13"/>
        <v>MASSILLON, OH, 44647</v>
      </c>
      <c r="F443" s="106" t="s">
        <v>1332</v>
      </c>
      <c r="G443" s="106" t="s">
        <v>1334</v>
      </c>
      <c r="H443" s="106" t="s">
        <v>2762</v>
      </c>
      <c r="I443" s="106" t="s">
        <v>2766</v>
      </c>
      <c r="J443" s="106" t="s">
        <v>885</v>
      </c>
      <c r="K443" s="106" t="s">
        <v>707</v>
      </c>
      <c r="L443" s="106" t="s">
        <v>1257</v>
      </c>
      <c r="N443" s="91">
        <f t="shared" si="14"/>
        <v>1</v>
      </c>
      <c r="O443" s="79" t="s">
        <v>2439</v>
      </c>
      <c r="P443" s="79" t="s">
        <v>2439</v>
      </c>
      <c r="Q443" s="79" t="s">
        <v>2438</v>
      </c>
      <c r="R443" s="79" t="s">
        <v>2762</v>
      </c>
      <c r="S443" s="79" t="s">
        <v>2769</v>
      </c>
      <c r="T443" s="79" t="s">
        <v>807</v>
      </c>
      <c r="U443" s="79" t="s">
        <v>808</v>
      </c>
      <c r="V443" s="79" t="s">
        <v>707</v>
      </c>
      <c r="W443" s="79" t="s">
        <v>809</v>
      </c>
      <c r="Y443" s="79" t="s">
        <v>2438</v>
      </c>
    </row>
    <row r="444" spans="2:25" ht="12.75" customHeight="1" x14ac:dyDescent="0.2">
      <c r="B444" s="106" t="s">
        <v>1336</v>
      </c>
      <c r="C444" s="106" t="s">
        <v>1336</v>
      </c>
      <c r="D444" s="106" t="s">
        <v>1335</v>
      </c>
      <c r="E444" s="107" t="str">
        <f t="shared" si="13"/>
        <v>LODI, OH, 44254</v>
      </c>
      <c r="F444" s="106" t="s">
        <v>1335</v>
      </c>
      <c r="G444" s="106" t="s">
        <v>1337</v>
      </c>
      <c r="H444" s="106" t="s">
        <v>2767</v>
      </c>
      <c r="I444" s="106" t="s">
        <v>2768</v>
      </c>
      <c r="J444" s="106" t="s">
        <v>1338</v>
      </c>
      <c r="K444" s="106" t="s">
        <v>707</v>
      </c>
      <c r="L444" s="106" t="s">
        <v>1339</v>
      </c>
      <c r="N444" s="91">
        <f t="shared" si="14"/>
        <v>1</v>
      </c>
      <c r="O444" s="79" t="s">
        <v>1682</v>
      </c>
      <c r="P444" s="79" t="s">
        <v>1682</v>
      </c>
      <c r="Q444" s="79" t="s">
        <v>1681</v>
      </c>
      <c r="R444" s="79" t="s">
        <v>2834</v>
      </c>
      <c r="S444" s="79" t="s">
        <v>2757</v>
      </c>
      <c r="T444" s="79" t="s">
        <v>1683</v>
      </c>
      <c r="U444" s="79" t="s">
        <v>1639</v>
      </c>
      <c r="V444" s="79" t="s">
        <v>707</v>
      </c>
      <c r="W444" s="79" t="s">
        <v>1640</v>
      </c>
      <c r="Y444" s="79" t="s">
        <v>1681</v>
      </c>
    </row>
    <row r="445" spans="2:25" ht="12.75" customHeight="1" x14ac:dyDescent="0.2">
      <c r="B445" s="106" t="s">
        <v>1341</v>
      </c>
      <c r="C445" s="106" t="s">
        <v>1341</v>
      </c>
      <c r="D445" s="106" t="s">
        <v>1340</v>
      </c>
      <c r="E445" s="107" t="str">
        <f t="shared" si="13"/>
        <v>MEDINA, OH, 44256</v>
      </c>
      <c r="F445" s="106" t="s">
        <v>1340</v>
      </c>
      <c r="G445" s="106" t="s">
        <v>1277</v>
      </c>
      <c r="H445" s="106" t="s">
        <v>2767</v>
      </c>
      <c r="I445" s="106" t="s">
        <v>2768</v>
      </c>
      <c r="J445" s="106" t="s">
        <v>835</v>
      </c>
      <c r="K445" s="106" t="s">
        <v>707</v>
      </c>
      <c r="L445" s="106" t="s">
        <v>836</v>
      </c>
      <c r="N445" s="91">
        <f t="shared" si="14"/>
        <v>1</v>
      </c>
      <c r="O445" s="79" t="s">
        <v>2347</v>
      </c>
      <c r="P445" s="79" t="s">
        <v>2347</v>
      </c>
      <c r="Q445" s="79" t="s">
        <v>2346</v>
      </c>
      <c r="R445" s="79" t="s">
        <v>2791</v>
      </c>
      <c r="S445" s="79" t="s">
        <v>2850</v>
      </c>
      <c r="T445" s="79" t="s">
        <v>2348</v>
      </c>
      <c r="U445" s="79" t="s">
        <v>2349</v>
      </c>
      <c r="V445" s="79" t="s">
        <v>707</v>
      </c>
      <c r="W445" s="79" t="s">
        <v>2350</v>
      </c>
      <c r="Y445" s="79" t="s">
        <v>2346</v>
      </c>
    </row>
    <row r="446" spans="2:25" ht="12.75" customHeight="1" x14ac:dyDescent="0.2">
      <c r="B446" s="106" t="s">
        <v>1726</v>
      </c>
      <c r="C446" s="106" t="s">
        <v>1726</v>
      </c>
      <c r="D446" s="106" t="s">
        <v>1725</v>
      </c>
      <c r="E446" s="107" t="str">
        <f t="shared" si="13"/>
        <v>VANDALIA, OH, 45377</v>
      </c>
      <c r="F446" s="106" t="s">
        <v>1725</v>
      </c>
      <c r="G446" s="106" t="s">
        <v>1727</v>
      </c>
      <c r="H446" s="106" t="s">
        <v>2775</v>
      </c>
      <c r="I446" s="106" t="s">
        <v>2777</v>
      </c>
      <c r="J446" s="106" t="s">
        <v>1728</v>
      </c>
      <c r="K446" s="106" t="s">
        <v>707</v>
      </c>
      <c r="L446" s="106" t="s">
        <v>1729</v>
      </c>
      <c r="N446" s="91">
        <f t="shared" si="14"/>
        <v>1</v>
      </c>
      <c r="O446" s="79" t="s">
        <v>2354</v>
      </c>
      <c r="P446" s="79" t="s">
        <v>2354</v>
      </c>
      <c r="Q446" s="79" t="s">
        <v>2353</v>
      </c>
      <c r="R446" s="79" t="s">
        <v>2791</v>
      </c>
      <c r="S446" s="79" t="s">
        <v>1489</v>
      </c>
      <c r="T446" s="79" t="s">
        <v>1987</v>
      </c>
      <c r="U446" s="79" t="s">
        <v>1988</v>
      </c>
      <c r="V446" s="79" t="s">
        <v>1489</v>
      </c>
      <c r="W446" s="79" t="s">
        <v>1989</v>
      </c>
      <c r="Y446" s="79" t="s">
        <v>2353</v>
      </c>
    </row>
    <row r="447" spans="2:25" ht="12.75" customHeight="1" x14ac:dyDescent="0.2">
      <c r="B447" s="106" t="s">
        <v>1862</v>
      </c>
      <c r="C447" s="106" t="s">
        <v>1862</v>
      </c>
      <c r="D447" s="106" t="s">
        <v>1861</v>
      </c>
      <c r="E447" s="107" t="str">
        <f t="shared" si="13"/>
        <v>XENIA, OH, 45385</v>
      </c>
      <c r="F447" s="106" t="s">
        <v>1861</v>
      </c>
      <c r="G447" s="106" t="s">
        <v>1863</v>
      </c>
      <c r="H447" s="106" t="s">
        <v>2770</v>
      </c>
      <c r="I447" s="106" t="s">
        <v>2826</v>
      </c>
      <c r="J447" s="106" t="s">
        <v>1822</v>
      </c>
      <c r="K447" s="106" t="s">
        <v>707</v>
      </c>
      <c r="L447" s="106" t="s">
        <v>1823</v>
      </c>
      <c r="N447" s="91">
        <f t="shared" si="14"/>
        <v>1</v>
      </c>
      <c r="O447" s="79" t="s">
        <v>2352</v>
      </c>
      <c r="P447" s="79" t="s">
        <v>2352</v>
      </c>
      <c r="Q447" s="79" t="s">
        <v>2351</v>
      </c>
      <c r="R447" s="79" t="s">
        <v>2791</v>
      </c>
      <c r="S447" s="79" t="s">
        <v>1489</v>
      </c>
      <c r="T447" s="79" t="s">
        <v>1487</v>
      </c>
      <c r="U447" s="79" t="s">
        <v>1488</v>
      </c>
      <c r="V447" s="79" t="s">
        <v>1489</v>
      </c>
      <c r="W447" s="79" t="s">
        <v>1490</v>
      </c>
      <c r="Y447" s="79" t="s">
        <v>2351</v>
      </c>
    </row>
    <row r="448" spans="2:25" ht="12.75" customHeight="1" x14ac:dyDescent="0.2">
      <c r="B448" s="106" t="s">
        <v>2434</v>
      </c>
      <c r="C448" s="106" t="s">
        <v>2434</v>
      </c>
      <c r="D448" s="106" t="s">
        <v>2433</v>
      </c>
      <c r="E448" s="107" t="str">
        <f t="shared" si="13"/>
        <v>MAGNOLIA, OH, 44643</v>
      </c>
      <c r="F448" s="106" t="s">
        <v>2433</v>
      </c>
      <c r="G448" s="106" t="s">
        <v>2435</v>
      </c>
      <c r="H448" s="106" t="s">
        <v>2791</v>
      </c>
      <c r="I448" s="106" t="s">
        <v>2849</v>
      </c>
      <c r="J448" s="106" t="s">
        <v>2436</v>
      </c>
      <c r="K448" s="106" t="s">
        <v>707</v>
      </c>
      <c r="L448" s="106" t="s">
        <v>2437</v>
      </c>
      <c r="N448" s="91">
        <f t="shared" si="14"/>
        <v>1</v>
      </c>
      <c r="O448" s="79" t="s">
        <v>2441</v>
      </c>
      <c r="P448" s="79" t="s">
        <v>2441</v>
      </c>
      <c r="Q448" s="79" t="s">
        <v>2440</v>
      </c>
      <c r="R448" s="79" t="s">
        <v>2791</v>
      </c>
      <c r="S448" s="79" t="s">
        <v>2769</v>
      </c>
      <c r="T448" s="79" t="s">
        <v>1411</v>
      </c>
      <c r="U448" s="79" t="s">
        <v>1323</v>
      </c>
      <c r="V448" s="79" t="s">
        <v>707</v>
      </c>
      <c r="W448" s="79" t="s">
        <v>1324</v>
      </c>
      <c r="Y448" s="79" t="s">
        <v>2440</v>
      </c>
    </row>
    <row r="449" spans="2:25" ht="12.75" customHeight="1" x14ac:dyDescent="0.2">
      <c r="B449" s="106" t="s">
        <v>1682</v>
      </c>
      <c r="C449" s="106" t="s">
        <v>1682</v>
      </c>
      <c r="D449" s="106" t="s">
        <v>1681</v>
      </c>
      <c r="E449" s="107" t="str">
        <f t="shared" si="13"/>
        <v>MARION, OH, 43302</v>
      </c>
      <c r="F449" s="106" t="s">
        <v>1681</v>
      </c>
      <c r="G449" s="106" t="s">
        <v>1683</v>
      </c>
      <c r="H449" s="106" t="s">
        <v>2834</v>
      </c>
      <c r="I449" s="106" t="s">
        <v>2757</v>
      </c>
      <c r="J449" s="106" t="s">
        <v>1639</v>
      </c>
      <c r="K449" s="106" t="s">
        <v>707</v>
      </c>
      <c r="L449" s="106" t="s">
        <v>1640</v>
      </c>
      <c r="N449" s="91">
        <f t="shared" si="14"/>
        <v>1</v>
      </c>
      <c r="O449" s="79" t="s">
        <v>1731</v>
      </c>
      <c r="P449" s="79" t="s">
        <v>1731</v>
      </c>
      <c r="Q449" s="79" t="s">
        <v>1730</v>
      </c>
      <c r="R449" s="79" t="s">
        <v>2775</v>
      </c>
      <c r="S449" s="79" t="s">
        <v>2779</v>
      </c>
      <c r="T449" s="79" t="s">
        <v>1732</v>
      </c>
      <c r="U449" s="79" t="s">
        <v>1733</v>
      </c>
      <c r="V449" s="79" t="s">
        <v>707</v>
      </c>
      <c r="W449" s="79" t="s">
        <v>1734</v>
      </c>
      <c r="Y449" s="79" t="s">
        <v>1730</v>
      </c>
    </row>
    <row r="450" spans="2:25" ht="12.75" customHeight="1" x14ac:dyDescent="0.2">
      <c r="B450" s="106" t="s">
        <v>2347</v>
      </c>
      <c r="C450" s="106" t="s">
        <v>2347</v>
      </c>
      <c r="D450" s="106" t="s">
        <v>2346</v>
      </c>
      <c r="E450" s="107" t="str">
        <f t="shared" ref="E450:E513" si="15">CONCATENATE(J450,", ",K450,", ",L450)</f>
        <v>MINGO JUNCTION, OH, 43938</v>
      </c>
      <c r="F450" s="106" t="s">
        <v>2346</v>
      </c>
      <c r="G450" s="106" t="s">
        <v>2348</v>
      </c>
      <c r="H450" s="106" t="s">
        <v>2791</v>
      </c>
      <c r="I450" s="106" t="s">
        <v>2850</v>
      </c>
      <c r="J450" s="106" t="s">
        <v>2349</v>
      </c>
      <c r="K450" s="106" t="s">
        <v>707</v>
      </c>
      <c r="L450" s="106" t="s">
        <v>2350</v>
      </c>
      <c r="N450" s="91">
        <f t="shared" si="14"/>
        <v>1</v>
      </c>
      <c r="O450" s="79" t="s">
        <v>1396</v>
      </c>
      <c r="P450" s="79" t="s">
        <v>1396</v>
      </c>
      <c r="Q450" s="79" t="s">
        <v>1395</v>
      </c>
      <c r="R450" s="79" t="s">
        <v>2762</v>
      </c>
      <c r="S450" s="79" t="s">
        <v>2763</v>
      </c>
      <c r="T450" s="79" t="s">
        <v>1397</v>
      </c>
      <c r="U450" s="79" t="s">
        <v>733</v>
      </c>
      <c r="V450" s="79" t="s">
        <v>707</v>
      </c>
      <c r="W450" s="79" t="s">
        <v>1398</v>
      </c>
      <c r="Y450" s="79" t="s">
        <v>1395</v>
      </c>
    </row>
    <row r="451" spans="2:25" ht="12.75" customHeight="1" x14ac:dyDescent="0.2">
      <c r="B451" s="106" t="s">
        <v>2354</v>
      </c>
      <c r="C451" s="106" t="s">
        <v>2354</v>
      </c>
      <c r="D451" s="106" t="s">
        <v>2353</v>
      </c>
      <c r="E451" s="107" t="str">
        <f t="shared" si="15"/>
        <v>BENWOOD, WV, 26031</v>
      </c>
      <c r="F451" s="106" t="s">
        <v>2353</v>
      </c>
      <c r="G451" s="106" t="s">
        <v>1987</v>
      </c>
      <c r="H451" s="106" t="s">
        <v>2791</v>
      </c>
      <c r="I451" s="106" t="s">
        <v>1489</v>
      </c>
      <c r="J451" s="106" t="s">
        <v>1988</v>
      </c>
      <c r="K451" s="106" t="s">
        <v>1489</v>
      </c>
      <c r="L451" s="106" t="s">
        <v>1989</v>
      </c>
      <c r="N451" s="91">
        <f t="shared" si="14"/>
        <v>1</v>
      </c>
      <c r="O451" s="79" t="s">
        <v>1464</v>
      </c>
      <c r="P451" s="79" t="s">
        <v>1464</v>
      </c>
      <c r="Q451" s="79" t="s">
        <v>1463</v>
      </c>
      <c r="R451" s="79" t="s">
        <v>2762</v>
      </c>
      <c r="S451" s="79" t="s">
        <v>2774</v>
      </c>
      <c r="T451" s="79" t="s">
        <v>1465</v>
      </c>
      <c r="U451" s="79" t="s">
        <v>1466</v>
      </c>
      <c r="V451" s="79" t="s">
        <v>707</v>
      </c>
      <c r="W451" s="79" t="s">
        <v>1274</v>
      </c>
      <c r="Y451" s="79" t="s">
        <v>1463</v>
      </c>
    </row>
    <row r="452" spans="2:25" ht="12.75" customHeight="1" x14ac:dyDescent="0.2">
      <c r="B452" s="106" t="s">
        <v>2352</v>
      </c>
      <c r="C452" s="106" t="s">
        <v>2352</v>
      </c>
      <c r="D452" s="106" t="s">
        <v>2351</v>
      </c>
      <c r="E452" s="107" t="str">
        <f t="shared" si="15"/>
        <v>WEIRTON, WV, 26062</v>
      </c>
      <c r="F452" s="106" t="s">
        <v>2351</v>
      </c>
      <c r="G452" s="106" t="s">
        <v>1487</v>
      </c>
      <c r="H452" s="106" t="s">
        <v>2791</v>
      </c>
      <c r="I452" s="106" t="s">
        <v>1489</v>
      </c>
      <c r="J452" s="106" t="s">
        <v>1488</v>
      </c>
      <c r="K452" s="106" t="s">
        <v>1489</v>
      </c>
      <c r="L452" s="106" t="s">
        <v>1490</v>
      </c>
      <c r="N452" s="91">
        <f t="shared" si="14"/>
        <v>1</v>
      </c>
      <c r="O452" s="79" t="s">
        <v>1021</v>
      </c>
      <c r="P452" s="79" t="s">
        <v>1021</v>
      </c>
      <c r="Q452" s="79" t="s">
        <v>1020</v>
      </c>
      <c r="R452" s="79" t="s">
        <v>2772</v>
      </c>
      <c r="S452" s="79" t="s">
        <v>2773</v>
      </c>
      <c r="T452" s="79" t="s">
        <v>1022</v>
      </c>
      <c r="U452" s="79" t="s">
        <v>1023</v>
      </c>
      <c r="V452" s="79" t="s">
        <v>707</v>
      </c>
      <c r="W452" s="79" t="s">
        <v>1024</v>
      </c>
      <c r="Y452" s="79" t="s">
        <v>1020</v>
      </c>
    </row>
    <row r="453" spans="2:25" ht="12.75" customHeight="1" x14ac:dyDescent="0.2">
      <c r="B453" s="106" t="s">
        <v>2441</v>
      </c>
      <c r="C453" s="106" t="s">
        <v>2441</v>
      </c>
      <c r="D453" s="106" t="s">
        <v>2440</v>
      </c>
      <c r="E453" s="107" t="str">
        <f t="shared" si="15"/>
        <v>NORTH JACKSON, OH, 44451</v>
      </c>
      <c r="F453" s="106" t="s">
        <v>2440</v>
      </c>
      <c r="G453" s="106" t="s">
        <v>1411</v>
      </c>
      <c r="H453" s="106" t="s">
        <v>2791</v>
      </c>
      <c r="I453" s="106" t="s">
        <v>2769</v>
      </c>
      <c r="J453" s="106" t="s">
        <v>1323</v>
      </c>
      <c r="K453" s="106" t="s">
        <v>707</v>
      </c>
      <c r="L453" s="106" t="s">
        <v>1324</v>
      </c>
      <c r="N453" s="91">
        <f t="shared" si="14"/>
        <v>1</v>
      </c>
      <c r="O453" s="79" t="s">
        <v>1113</v>
      </c>
      <c r="P453" s="79" t="s">
        <v>1113</v>
      </c>
      <c r="Q453" s="79" t="s">
        <v>1112</v>
      </c>
      <c r="R453" s="79" t="s">
        <v>2772</v>
      </c>
      <c r="S453" s="79" t="s">
        <v>2806</v>
      </c>
      <c r="T453" s="79" t="s">
        <v>1114</v>
      </c>
      <c r="U453" s="79" t="s">
        <v>945</v>
      </c>
      <c r="V453" s="79" t="s">
        <v>707</v>
      </c>
      <c r="W453" s="79" t="s">
        <v>946</v>
      </c>
      <c r="Y453" s="79" t="s">
        <v>1112</v>
      </c>
    </row>
    <row r="454" spans="2:25" ht="12.75" customHeight="1" x14ac:dyDescent="0.2">
      <c r="B454" s="106" t="s">
        <v>1731</v>
      </c>
      <c r="C454" s="106" t="s">
        <v>1731</v>
      </c>
      <c r="D454" s="106" t="s">
        <v>1730</v>
      </c>
      <c r="E454" s="107" t="str">
        <f t="shared" si="15"/>
        <v>PIQUA, OH, 45356</v>
      </c>
      <c r="F454" s="106" t="s">
        <v>1730</v>
      </c>
      <c r="G454" s="106" t="s">
        <v>1732</v>
      </c>
      <c r="H454" s="106" t="s">
        <v>2775</v>
      </c>
      <c r="I454" s="106" t="s">
        <v>2779</v>
      </c>
      <c r="J454" s="106" t="s">
        <v>1733</v>
      </c>
      <c r="K454" s="106" t="s">
        <v>707</v>
      </c>
      <c r="L454" s="106" t="s">
        <v>1734</v>
      </c>
      <c r="N454" s="91">
        <f t="shared" si="14"/>
        <v>1</v>
      </c>
      <c r="O454" s="79" t="s">
        <v>2504</v>
      </c>
      <c r="P454" s="79" t="s">
        <v>2504</v>
      </c>
      <c r="Q454" s="79" t="s">
        <v>2503</v>
      </c>
      <c r="R454" s="79" t="s">
        <v>2759</v>
      </c>
      <c r="S454" s="79" t="s">
        <v>2785</v>
      </c>
      <c r="T454" s="79" t="s">
        <v>2505</v>
      </c>
      <c r="U454" s="79" t="s">
        <v>2506</v>
      </c>
      <c r="V454" s="79" t="s">
        <v>707</v>
      </c>
      <c r="W454" s="79" t="s">
        <v>2507</v>
      </c>
      <c r="Y454" s="79" t="s">
        <v>2503</v>
      </c>
    </row>
    <row r="455" spans="2:25" ht="12.75" customHeight="1" x14ac:dyDescent="0.2">
      <c r="B455" s="106" t="s">
        <v>1396</v>
      </c>
      <c r="C455" s="106" t="s">
        <v>1396</v>
      </c>
      <c r="D455" s="106" t="s">
        <v>1395</v>
      </c>
      <c r="E455" s="107" t="str">
        <f t="shared" si="15"/>
        <v>AKRON, OH, 44310</v>
      </c>
      <c r="F455" s="106" t="s">
        <v>1395</v>
      </c>
      <c r="G455" s="106" t="s">
        <v>1397</v>
      </c>
      <c r="H455" s="106" t="s">
        <v>2762</v>
      </c>
      <c r="I455" s="106" t="s">
        <v>2763</v>
      </c>
      <c r="J455" s="106" t="s">
        <v>733</v>
      </c>
      <c r="K455" s="106" t="s">
        <v>707</v>
      </c>
      <c r="L455" s="106" t="s">
        <v>1398</v>
      </c>
      <c r="N455" s="91">
        <f t="shared" si="14"/>
        <v>1</v>
      </c>
      <c r="O455" s="79" t="s">
        <v>2502</v>
      </c>
      <c r="P455" s="79" t="s">
        <v>2502</v>
      </c>
      <c r="Q455" s="79" t="s">
        <v>2501</v>
      </c>
      <c r="R455" s="79" t="s">
        <v>2759</v>
      </c>
      <c r="S455" s="79" t="s">
        <v>2760</v>
      </c>
      <c r="T455" s="79" t="s">
        <v>958</v>
      </c>
      <c r="U455" s="79" t="s">
        <v>843</v>
      </c>
      <c r="V455" s="79" t="s">
        <v>707</v>
      </c>
      <c r="W455" s="79" t="s">
        <v>955</v>
      </c>
      <c r="Y455" s="79" t="s">
        <v>2501</v>
      </c>
    </row>
    <row r="456" spans="2:25" ht="12.75" customHeight="1" x14ac:dyDescent="0.2">
      <c r="B456" s="106" t="s">
        <v>1021</v>
      </c>
      <c r="C456" s="106" t="s">
        <v>1021</v>
      </c>
      <c r="D456" s="106" t="s">
        <v>1020</v>
      </c>
      <c r="E456" s="107" t="str">
        <f t="shared" si="15"/>
        <v>FREMONT, OH, 43420</v>
      </c>
      <c r="F456" s="106" t="s">
        <v>1020</v>
      </c>
      <c r="G456" s="106" t="s">
        <v>1022</v>
      </c>
      <c r="H456" s="106" t="s">
        <v>2772</v>
      </c>
      <c r="I456" s="106" t="s">
        <v>2773</v>
      </c>
      <c r="J456" s="106" t="s">
        <v>1023</v>
      </c>
      <c r="K456" s="106" t="s">
        <v>707</v>
      </c>
      <c r="L456" s="106" t="s">
        <v>1024</v>
      </c>
      <c r="N456" s="91">
        <f t="shared" si="14"/>
        <v>1</v>
      </c>
      <c r="O456" s="79" t="s">
        <v>1572</v>
      </c>
      <c r="P456" s="79" t="s">
        <v>1572</v>
      </c>
      <c r="Q456" s="79" t="s">
        <v>1571</v>
      </c>
      <c r="R456" s="79" t="s">
        <v>2786</v>
      </c>
      <c r="S456" s="79" t="s">
        <v>2787</v>
      </c>
      <c r="T456" s="79" t="s">
        <v>1573</v>
      </c>
      <c r="U456" s="79" t="s">
        <v>1574</v>
      </c>
      <c r="V456" s="79" t="s">
        <v>707</v>
      </c>
      <c r="W456" s="79" t="s">
        <v>1575</v>
      </c>
      <c r="Y456" s="79" t="s">
        <v>1571</v>
      </c>
    </row>
    <row r="457" spans="2:25" ht="12.75" customHeight="1" x14ac:dyDescent="0.2">
      <c r="B457" s="106" t="s">
        <v>1113</v>
      </c>
      <c r="C457" s="106" t="s">
        <v>1113</v>
      </c>
      <c r="D457" s="106" t="s">
        <v>1112</v>
      </c>
      <c r="E457" s="107" t="str">
        <f t="shared" si="15"/>
        <v>PORTAGE, OH, 43451</v>
      </c>
      <c r="F457" s="106" t="s">
        <v>1112</v>
      </c>
      <c r="G457" s="106" t="s">
        <v>1114</v>
      </c>
      <c r="H457" s="106" t="s">
        <v>2772</v>
      </c>
      <c r="I457" s="106" t="s">
        <v>2806</v>
      </c>
      <c r="J457" s="106" t="s">
        <v>945</v>
      </c>
      <c r="K457" s="106" t="s">
        <v>707</v>
      </c>
      <c r="L457" s="106" t="s">
        <v>946</v>
      </c>
      <c r="N457" s="91">
        <f t="shared" si="14"/>
        <v>1</v>
      </c>
      <c r="O457" s="79" t="s">
        <v>2185</v>
      </c>
      <c r="P457" s="79" t="s">
        <v>2185</v>
      </c>
      <c r="Q457" s="79" t="s">
        <v>2184</v>
      </c>
      <c r="R457" s="79" t="s">
        <v>2780</v>
      </c>
      <c r="S457" s="79" t="s">
        <v>1920</v>
      </c>
      <c r="T457" s="79" t="s">
        <v>2186</v>
      </c>
      <c r="U457" s="79" t="s">
        <v>2187</v>
      </c>
      <c r="V457" s="79" t="s">
        <v>1920</v>
      </c>
      <c r="W457" s="79" t="s">
        <v>2188</v>
      </c>
      <c r="Y457" s="79" t="s">
        <v>2184</v>
      </c>
    </row>
    <row r="458" spans="2:25" ht="12.75" customHeight="1" x14ac:dyDescent="0.2">
      <c r="B458" s="106" t="s">
        <v>2504</v>
      </c>
      <c r="C458" s="106" t="s">
        <v>2504</v>
      </c>
      <c r="D458" s="106" t="s">
        <v>2503</v>
      </c>
      <c r="E458" s="107" t="str">
        <f t="shared" si="15"/>
        <v>THOMPSON, OH, 44086</v>
      </c>
      <c r="F458" s="106" t="s">
        <v>2503</v>
      </c>
      <c r="G458" s="106" t="s">
        <v>2505</v>
      </c>
      <c r="H458" s="106" t="s">
        <v>2759</v>
      </c>
      <c r="I458" s="106" t="s">
        <v>2785</v>
      </c>
      <c r="J458" s="106" t="s">
        <v>2506</v>
      </c>
      <c r="K458" s="106" t="s">
        <v>707</v>
      </c>
      <c r="L458" s="106" t="s">
        <v>2507</v>
      </c>
      <c r="N458" s="91">
        <f t="shared" si="14"/>
        <v>1</v>
      </c>
      <c r="O458" s="79" t="s">
        <v>2735</v>
      </c>
      <c r="P458" s="79" t="s">
        <v>2735</v>
      </c>
      <c r="Q458" s="79" t="s">
        <v>2734</v>
      </c>
      <c r="R458" s="79" t="s">
        <v>2782</v>
      </c>
      <c r="S458" s="79" t="s">
        <v>2764</v>
      </c>
      <c r="T458" s="79" t="s">
        <v>1913</v>
      </c>
      <c r="U458" s="79" t="s">
        <v>1914</v>
      </c>
      <c r="V458" s="79" t="s">
        <v>1489</v>
      </c>
      <c r="W458" s="79" t="s">
        <v>1915</v>
      </c>
      <c r="Y458" s="79" t="s">
        <v>2734</v>
      </c>
    </row>
    <row r="459" spans="2:25" ht="12.75" customHeight="1" x14ac:dyDescent="0.2">
      <c r="B459" s="106" t="s">
        <v>2502</v>
      </c>
      <c r="C459" s="106" t="s">
        <v>2502</v>
      </c>
      <c r="D459" s="106" t="s">
        <v>2501</v>
      </c>
      <c r="E459" s="107" t="str">
        <f t="shared" si="15"/>
        <v>CLEVELAND, OH, 44113</v>
      </c>
      <c r="F459" s="106" t="s">
        <v>2501</v>
      </c>
      <c r="G459" s="106" t="s">
        <v>958</v>
      </c>
      <c r="H459" s="106" t="s">
        <v>2759</v>
      </c>
      <c r="I459" s="106" t="s">
        <v>2760</v>
      </c>
      <c r="J459" s="106" t="s">
        <v>843</v>
      </c>
      <c r="K459" s="106" t="s">
        <v>707</v>
      </c>
      <c r="L459" s="106" t="s">
        <v>955</v>
      </c>
      <c r="N459" s="91">
        <f t="shared" si="14"/>
        <v>1</v>
      </c>
      <c r="O459" s="79" t="s">
        <v>2733</v>
      </c>
      <c r="P459" s="79" t="s">
        <v>2733</v>
      </c>
      <c r="Q459" s="79" t="s">
        <v>2732</v>
      </c>
      <c r="R459" s="79" t="s">
        <v>2782</v>
      </c>
      <c r="S459" s="79" t="s">
        <v>2764</v>
      </c>
      <c r="T459" s="79" t="s">
        <v>1908</v>
      </c>
      <c r="U459" s="79" t="s">
        <v>1909</v>
      </c>
      <c r="V459" s="79" t="s">
        <v>1489</v>
      </c>
      <c r="W459" s="79" t="s">
        <v>1910</v>
      </c>
      <c r="Y459" s="79" t="s">
        <v>2732</v>
      </c>
    </row>
    <row r="460" spans="2:25" ht="12.75" customHeight="1" x14ac:dyDescent="0.2">
      <c r="B460" s="106" t="s">
        <v>3153</v>
      </c>
      <c r="C460" s="106" t="s">
        <v>3153</v>
      </c>
      <c r="D460" s="106" t="s">
        <v>3154</v>
      </c>
      <c r="E460" s="107" t="str">
        <f t="shared" si="15"/>
        <v>ASHTABULA, OH, 44004</v>
      </c>
      <c r="F460" s="106" t="s">
        <v>3154</v>
      </c>
      <c r="G460" s="106" t="s">
        <v>3155</v>
      </c>
      <c r="H460" s="106" t="s">
        <v>2762</v>
      </c>
      <c r="I460" s="106" t="s">
        <v>2790</v>
      </c>
      <c r="J460" s="106" t="s">
        <v>979</v>
      </c>
      <c r="K460" s="106" t="s">
        <v>707</v>
      </c>
      <c r="L460" s="106" t="s">
        <v>980</v>
      </c>
      <c r="N460" s="91">
        <f t="shared" si="14"/>
        <v>1</v>
      </c>
      <c r="O460" s="79" t="s">
        <v>2730</v>
      </c>
      <c r="P460" s="79" t="s">
        <v>2730</v>
      </c>
      <c r="Q460" s="79" t="s">
        <v>2729</v>
      </c>
      <c r="R460" s="79" t="s">
        <v>2782</v>
      </c>
      <c r="S460" s="79" t="s">
        <v>2764</v>
      </c>
      <c r="T460" s="79" t="s">
        <v>1900</v>
      </c>
      <c r="U460" s="79" t="s">
        <v>1901</v>
      </c>
      <c r="V460" s="79" t="s">
        <v>1489</v>
      </c>
      <c r="W460" s="79" t="s">
        <v>1902</v>
      </c>
      <c r="Y460" s="79" t="s">
        <v>2729</v>
      </c>
    </row>
    <row r="461" spans="2:25" ht="12.75" customHeight="1" x14ac:dyDescent="0.2">
      <c r="B461" s="106" t="s">
        <v>1572</v>
      </c>
      <c r="C461" s="106" t="s">
        <v>1572</v>
      </c>
      <c r="D461" s="106" t="s">
        <v>1571</v>
      </c>
      <c r="E461" s="107" t="str">
        <f t="shared" si="15"/>
        <v>NEWCOMERSTOWN, OH, 43832</v>
      </c>
      <c r="F461" s="106" t="s">
        <v>1571</v>
      </c>
      <c r="G461" s="106" t="s">
        <v>1573</v>
      </c>
      <c r="H461" s="106" t="s">
        <v>2786</v>
      </c>
      <c r="I461" s="106" t="s">
        <v>2787</v>
      </c>
      <c r="J461" s="106" t="s">
        <v>1574</v>
      </c>
      <c r="K461" s="106" t="s">
        <v>707</v>
      </c>
      <c r="L461" s="106" t="s">
        <v>1575</v>
      </c>
      <c r="N461" s="91">
        <f t="shared" si="14"/>
        <v>1</v>
      </c>
      <c r="O461" s="79" t="s">
        <v>2266</v>
      </c>
      <c r="P461" s="79" t="s">
        <v>2266</v>
      </c>
      <c r="Q461" s="79" t="s">
        <v>2265</v>
      </c>
      <c r="R461" s="79" t="s">
        <v>2770</v>
      </c>
      <c r="S461" s="79" t="s">
        <v>2789</v>
      </c>
      <c r="T461" s="79" t="s">
        <v>1905</v>
      </c>
      <c r="U461" s="79" t="s">
        <v>1144</v>
      </c>
      <c r="V461" s="79" t="s">
        <v>707</v>
      </c>
      <c r="W461" s="79" t="s">
        <v>1145</v>
      </c>
      <c r="Y461" s="79" t="s">
        <v>2265</v>
      </c>
    </row>
    <row r="462" spans="2:25" ht="12.75" customHeight="1" x14ac:dyDescent="0.2">
      <c r="B462" s="143" t="s">
        <v>2735</v>
      </c>
      <c r="C462" s="143" t="s">
        <v>2735</v>
      </c>
      <c r="D462" s="143" t="s">
        <v>2734</v>
      </c>
      <c r="E462" s="107" t="str">
        <f t="shared" si="15"/>
        <v>NEW MARTINSVILLE, WV, 26155</v>
      </c>
      <c r="F462" s="143" t="s">
        <v>2734</v>
      </c>
      <c r="G462" s="143" t="s">
        <v>1913</v>
      </c>
      <c r="H462" s="143" t="s">
        <v>2782</v>
      </c>
      <c r="I462" s="143" t="s">
        <v>2764</v>
      </c>
      <c r="J462" s="143" t="s">
        <v>1914</v>
      </c>
      <c r="K462" s="143" t="s">
        <v>1489</v>
      </c>
      <c r="L462" s="143" t="s">
        <v>1915</v>
      </c>
      <c r="N462" s="91">
        <f t="shared" si="14"/>
        <v>2</v>
      </c>
      <c r="O462" s="79" t="s">
        <v>2266</v>
      </c>
      <c r="P462" s="79" t="s">
        <v>2266</v>
      </c>
      <c r="Q462" s="79" t="s">
        <v>2731</v>
      </c>
      <c r="R462" s="79" t="s">
        <v>2770</v>
      </c>
      <c r="S462" s="79" t="s">
        <v>2789</v>
      </c>
      <c r="T462" s="79" t="s">
        <v>1905</v>
      </c>
      <c r="U462" s="79" t="s">
        <v>1144</v>
      </c>
      <c r="V462" s="79" t="s">
        <v>707</v>
      </c>
      <c r="W462" s="79" t="s">
        <v>1145</v>
      </c>
      <c r="Y462" s="79" t="s">
        <v>2731</v>
      </c>
    </row>
    <row r="463" spans="2:25" ht="12.75" customHeight="1" x14ac:dyDescent="0.2">
      <c r="B463" s="143" t="s">
        <v>2733</v>
      </c>
      <c r="C463" s="143" t="s">
        <v>2733</v>
      </c>
      <c r="D463" s="143" t="s">
        <v>2732</v>
      </c>
      <c r="E463" s="107" t="str">
        <f t="shared" si="15"/>
        <v>RAVENSWOOD, WV, 26164</v>
      </c>
      <c r="F463" s="143" t="s">
        <v>2732</v>
      </c>
      <c r="G463" s="143" t="s">
        <v>1908</v>
      </c>
      <c r="H463" s="143" t="s">
        <v>2782</v>
      </c>
      <c r="I463" s="143" t="s">
        <v>2764</v>
      </c>
      <c r="J463" s="143" t="s">
        <v>1909</v>
      </c>
      <c r="K463" s="143" t="s">
        <v>1489</v>
      </c>
      <c r="L463" s="143" t="s">
        <v>1910</v>
      </c>
      <c r="N463" s="91">
        <f t="shared" si="14"/>
        <v>1</v>
      </c>
      <c r="O463" s="79" t="s">
        <v>2264</v>
      </c>
      <c r="P463" s="79" t="s">
        <v>2264</v>
      </c>
      <c r="Q463" s="79" t="s">
        <v>2263</v>
      </c>
      <c r="R463" s="79" t="s">
        <v>2782</v>
      </c>
      <c r="S463" s="79" t="s">
        <v>2764</v>
      </c>
      <c r="T463" s="79" t="s">
        <v>1900</v>
      </c>
      <c r="U463" s="79" t="s">
        <v>1901</v>
      </c>
      <c r="V463" s="79" t="s">
        <v>1489</v>
      </c>
      <c r="W463" s="79" t="s">
        <v>1902</v>
      </c>
      <c r="Y463" s="79" t="s">
        <v>2263</v>
      </c>
    </row>
    <row r="464" spans="2:25" ht="12.75" customHeight="1" x14ac:dyDescent="0.2">
      <c r="B464" s="143" t="s">
        <v>2730</v>
      </c>
      <c r="C464" s="143" t="s">
        <v>2730</v>
      </c>
      <c r="D464" s="143" t="s">
        <v>2729</v>
      </c>
      <c r="E464" s="107" t="str">
        <f t="shared" si="15"/>
        <v>PARKERSBURG, WV, 26101</v>
      </c>
      <c r="F464" s="143" t="s">
        <v>2729</v>
      </c>
      <c r="G464" s="143" t="s">
        <v>1900</v>
      </c>
      <c r="H464" s="143" t="s">
        <v>2782</v>
      </c>
      <c r="I464" s="143" t="s">
        <v>2764</v>
      </c>
      <c r="J464" s="143" t="s">
        <v>1901</v>
      </c>
      <c r="K464" s="143" t="s">
        <v>1489</v>
      </c>
      <c r="L464" s="143" t="s">
        <v>1902</v>
      </c>
      <c r="N464" s="91">
        <f t="shared" si="14"/>
        <v>1</v>
      </c>
      <c r="O464" s="79" t="s">
        <v>2272</v>
      </c>
      <c r="P464" s="79" t="s">
        <v>2272</v>
      </c>
      <c r="Q464" s="79" t="s">
        <v>2271</v>
      </c>
      <c r="R464" s="79" t="s">
        <v>2791</v>
      </c>
      <c r="S464" s="79" t="s">
        <v>1489</v>
      </c>
      <c r="T464" s="79" t="s">
        <v>1987</v>
      </c>
      <c r="U464" s="79" t="s">
        <v>1988</v>
      </c>
      <c r="V464" s="79" t="s">
        <v>1489</v>
      </c>
      <c r="W464" s="79" t="s">
        <v>1989</v>
      </c>
      <c r="Y464" s="79" t="s">
        <v>2271</v>
      </c>
    </row>
    <row r="465" spans="2:25" ht="12.75" customHeight="1" x14ac:dyDescent="0.2">
      <c r="B465" s="106" t="s">
        <v>2266</v>
      </c>
      <c r="C465" s="106" t="s">
        <v>2266</v>
      </c>
      <c r="D465" s="106" t="s">
        <v>2265</v>
      </c>
      <c r="E465" s="107" t="str">
        <f t="shared" si="15"/>
        <v>CINCINNATI, OH, 45226</v>
      </c>
      <c r="F465" s="106" t="s">
        <v>2265</v>
      </c>
      <c r="G465" s="106" t="s">
        <v>1905</v>
      </c>
      <c r="H465" s="106" t="s">
        <v>2770</v>
      </c>
      <c r="I465" s="106" t="s">
        <v>2789</v>
      </c>
      <c r="J465" s="106" t="s">
        <v>1144</v>
      </c>
      <c r="K465" s="106" t="s">
        <v>707</v>
      </c>
      <c r="L465" s="106" t="s">
        <v>1145</v>
      </c>
      <c r="N465" s="91">
        <f t="shared" si="14"/>
        <v>1</v>
      </c>
      <c r="O465" s="79" t="s">
        <v>2262</v>
      </c>
      <c r="P465" s="79" t="s">
        <v>2262</v>
      </c>
      <c r="Q465" s="79" t="s">
        <v>2261</v>
      </c>
      <c r="R465" s="79" t="s">
        <v>2791</v>
      </c>
      <c r="S465" s="79" t="s">
        <v>1489</v>
      </c>
      <c r="T465" s="79" t="s">
        <v>1487</v>
      </c>
      <c r="U465" s="79" t="s">
        <v>1488</v>
      </c>
      <c r="V465" s="79" t="s">
        <v>1489</v>
      </c>
      <c r="W465" s="79" t="s">
        <v>1490</v>
      </c>
      <c r="Y465" s="79" t="s">
        <v>2261</v>
      </c>
    </row>
    <row r="466" spans="2:25" ht="12.75" customHeight="1" x14ac:dyDescent="0.2">
      <c r="B466" s="143" t="s">
        <v>2266</v>
      </c>
      <c r="C466" s="143" t="s">
        <v>2266</v>
      </c>
      <c r="D466" s="143" t="s">
        <v>2731</v>
      </c>
      <c r="E466" s="107" t="str">
        <f t="shared" si="15"/>
        <v>CINCINNATI, OH, 45226</v>
      </c>
      <c r="F466" s="143" t="s">
        <v>2731</v>
      </c>
      <c r="G466" s="143" t="s">
        <v>1905</v>
      </c>
      <c r="H466" s="143" t="s">
        <v>2770</v>
      </c>
      <c r="I466" s="143" t="s">
        <v>2789</v>
      </c>
      <c r="J466" s="143" t="s">
        <v>1144</v>
      </c>
      <c r="K466" s="143" t="s">
        <v>707</v>
      </c>
      <c r="L466" s="143" t="s">
        <v>1145</v>
      </c>
      <c r="N466" s="91">
        <f t="shared" si="14"/>
        <v>1</v>
      </c>
      <c r="O466" s="79" t="s">
        <v>2276</v>
      </c>
      <c r="P466" s="79" t="s">
        <v>2276</v>
      </c>
      <c r="Q466" s="79" t="s">
        <v>2275</v>
      </c>
      <c r="R466" s="79" t="s">
        <v>2782</v>
      </c>
      <c r="S466" s="79" t="s">
        <v>2792</v>
      </c>
      <c r="T466" s="79" t="s">
        <v>909</v>
      </c>
      <c r="U466" s="79" t="s">
        <v>910</v>
      </c>
      <c r="V466" s="79" t="s">
        <v>707</v>
      </c>
      <c r="W466" s="79" t="s">
        <v>911</v>
      </c>
      <c r="Y466" s="79" t="s">
        <v>2275</v>
      </c>
    </row>
    <row r="467" spans="2:25" ht="12.75" customHeight="1" x14ac:dyDescent="0.2">
      <c r="B467" s="106" t="s">
        <v>2264</v>
      </c>
      <c r="C467" s="106" t="s">
        <v>2264</v>
      </c>
      <c r="D467" s="106" t="s">
        <v>2263</v>
      </c>
      <c r="E467" s="107" t="str">
        <f t="shared" si="15"/>
        <v>PARKERSBURG, WV, 26101</v>
      </c>
      <c r="F467" s="106" t="s">
        <v>2263</v>
      </c>
      <c r="G467" s="106" t="s">
        <v>1900</v>
      </c>
      <c r="H467" s="106" t="s">
        <v>2782</v>
      </c>
      <c r="I467" s="106" t="s">
        <v>2764</v>
      </c>
      <c r="J467" s="106" t="s">
        <v>1901</v>
      </c>
      <c r="K467" s="106" t="s">
        <v>1489</v>
      </c>
      <c r="L467" s="106" t="s">
        <v>1902</v>
      </c>
      <c r="N467" s="91">
        <f t="shared" si="14"/>
        <v>1</v>
      </c>
      <c r="O467" s="79" t="s">
        <v>2274</v>
      </c>
      <c r="P467" s="79" t="s">
        <v>2274</v>
      </c>
      <c r="Q467" s="79" t="s">
        <v>2273</v>
      </c>
      <c r="R467" s="79" t="s">
        <v>2791</v>
      </c>
      <c r="S467" s="79" t="s">
        <v>2764</v>
      </c>
      <c r="T467" s="79" t="s">
        <v>2012</v>
      </c>
      <c r="U467" s="79" t="s">
        <v>2013</v>
      </c>
      <c r="V467" s="79" t="s">
        <v>1489</v>
      </c>
      <c r="W467" s="79" t="s">
        <v>2014</v>
      </c>
      <c r="Y467" s="79" t="s">
        <v>2273</v>
      </c>
    </row>
    <row r="468" spans="2:25" ht="12.75" customHeight="1" x14ac:dyDescent="0.2">
      <c r="B468" s="106" t="s">
        <v>2272</v>
      </c>
      <c r="C468" s="106" t="s">
        <v>2272</v>
      </c>
      <c r="D468" s="106" t="s">
        <v>2271</v>
      </c>
      <c r="E468" s="107" t="str">
        <f t="shared" si="15"/>
        <v>BENWOOD, WV, 26031</v>
      </c>
      <c r="F468" s="106" t="s">
        <v>2271</v>
      </c>
      <c r="G468" s="106" t="s">
        <v>1987</v>
      </c>
      <c r="H468" s="106" t="s">
        <v>2791</v>
      </c>
      <c r="I468" s="106" t="s">
        <v>1489</v>
      </c>
      <c r="J468" s="106" t="s">
        <v>1988</v>
      </c>
      <c r="K468" s="106" t="s">
        <v>1489</v>
      </c>
      <c r="L468" s="106" t="s">
        <v>1989</v>
      </c>
      <c r="N468" s="91">
        <f t="shared" si="14"/>
        <v>1</v>
      </c>
      <c r="O468" s="79" t="s">
        <v>2278</v>
      </c>
      <c r="P468" s="79" t="s">
        <v>2278</v>
      </c>
      <c r="Q468" s="79" t="s">
        <v>2277</v>
      </c>
      <c r="R468" s="79" t="s">
        <v>2782</v>
      </c>
      <c r="S468" s="79" t="s">
        <v>2784</v>
      </c>
      <c r="T468" s="79" t="s">
        <v>1926</v>
      </c>
      <c r="U468" s="79" t="s">
        <v>1927</v>
      </c>
      <c r="V468" s="79" t="s">
        <v>707</v>
      </c>
      <c r="W468" s="79" t="s">
        <v>1928</v>
      </c>
      <c r="Y468" s="79" t="s">
        <v>2277</v>
      </c>
    </row>
    <row r="469" spans="2:25" ht="12.75" customHeight="1" x14ac:dyDescent="0.2">
      <c r="B469" s="106" t="s">
        <v>2262</v>
      </c>
      <c r="C469" s="106" t="s">
        <v>2262</v>
      </c>
      <c r="D469" s="106" t="s">
        <v>2261</v>
      </c>
      <c r="E469" s="107" t="str">
        <f t="shared" si="15"/>
        <v>WEIRTON, WV, 26062</v>
      </c>
      <c r="F469" s="106" t="s">
        <v>2261</v>
      </c>
      <c r="G469" s="106" t="s">
        <v>1487</v>
      </c>
      <c r="H469" s="106" t="s">
        <v>2791</v>
      </c>
      <c r="I469" s="106" t="s">
        <v>1489</v>
      </c>
      <c r="J469" s="106" t="s">
        <v>1488</v>
      </c>
      <c r="K469" s="106" t="s">
        <v>1489</v>
      </c>
      <c r="L469" s="106" t="s">
        <v>1490</v>
      </c>
      <c r="N469" s="91">
        <f t="shared" ref="N469:N532" si="16">IF(O469=O468,1+N468,1)</f>
        <v>1</v>
      </c>
      <c r="O469" s="79" t="s">
        <v>2268</v>
      </c>
      <c r="P469" s="79" t="s">
        <v>2268</v>
      </c>
      <c r="Q469" s="79" t="s">
        <v>2267</v>
      </c>
      <c r="R469" s="79" t="s">
        <v>2782</v>
      </c>
      <c r="S469" s="79" t="s">
        <v>2764</v>
      </c>
      <c r="T469" s="79" t="s">
        <v>1908</v>
      </c>
      <c r="U469" s="79" t="s">
        <v>1909</v>
      </c>
      <c r="V469" s="79" t="s">
        <v>1489</v>
      </c>
      <c r="W469" s="79" t="s">
        <v>1910</v>
      </c>
      <c r="Y469" s="79" t="s">
        <v>2267</v>
      </c>
    </row>
    <row r="470" spans="2:25" ht="12.75" customHeight="1" x14ac:dyDescent="0.2">
      <c r="B470" s="106" t="s">
        <v>2276</v>
      </c>
      <c r="C470" s="106" t="s">
        <v>2276</v>
      </c>
      <c r="D470" s="106" t="s">
        <v>2275</v>
      </c>
      <c r="E470" s="107" t="str">
        <f t="shared" si="15"/>
        <v>SARDIS, OH, 43946</v>
      </c>
      <c r="F470" s="106" t="s">
        <v>2275</v>
      </c>
      <c r="G470" s="106" t="s">
        <v>909</v>
      </c>
      <c r="H470" s="106" t="s">
        <v>2782</v>
      </c>
      <c r="I470" s="106" t="s">
        <v>2792</v>
      </c>
      <c r="J470" s="106" t="s">
        <v>910</v>
      </c>
      <c r="K470" s="106" t="s">
        <v>707</v>
      </c>
      <c r="L470" s="106" t="s">
        <v>911</v>
      </c>
      <c r="N470" s="91">
        <f t="shared" si="16"/>
        <v>1</v>
      </c>
      <c r="O470" s="79" t="s">
        <v>2270</v>
      </c>
      <c r="P470" s="79" t="s">
        <v>2270</v>
      </c>
      <c r="Q470" s="79" t="s">
        <v>2269</v>
      </c>
      <c r="R470" s="79" t="s">
        <v>2782</v>
      </c>
      <c r="S470" s="79" t="s">
        <v>2764</v>
      </c>
      <c r="T470" s="79" t="s">
        <v>1913</v>
      </c>
      <c r="U470" s="79" t="s">
        <v>1914</v>
      </c>
      <c r="V470" s="79" t="s">
        <v>1489</v>
      </c>
      <c r="W470" s="79" t="s">
        <v>1915</v>
      </c>
      <c r="Y470" s="79" t="s">
        <v>2269</v>
      </c>
    </row>
    <row r="471" spans="2:25" ht="12.75" customHeight="1" x14ac:dyDescent="0.2">
      <c r="B471" s="106" t="s">
        <v>2274</v>
      </c>
      <c r="C471" s="106" t="s">
        <v>2274</v>
      </c>
      <c r="D471" s="106" t="s">
        <v>2273</v>
      </c>
      <c r="E471" s="107" t="str">
        <f t="shared" si="15"/>
        <v>MOUNDSVILLE, WV, 26041</v>
      </c>
      <c r="F471" s="106" t="s">
        <v>2273</v>
      </c>
      <c r="G471" s="106" t="s">
        <v>2012</v>
      </c>
      <c r="H471" s="106" t="s">
        <v>2791</v>
      </c>
      <c r="I471" s="106" t="s">
        <v>2764</v>
      </c>
      <c r="J471" s="106" t="s">
        <v>2013</v>
      </c>
      <c r="K471" s="106" t="s">
        <v>1489</v>
      </c>
      <c r="L471" s="106" t="s">
        <v>2014</v>
      </c>
      <c r="N471" s="91">
        <f t="shared" si="16"/>
        <v>1</v>
      </c>
      <c r="O471" s="79" t="s">
        <v>1242</v>
      </c>
      <c r="P471" s="79" t="s">
        <v>1242</v>
      </c>
      <c r="Q471" s="79" t="s">
        <v>1241</v>
      </c>
      <c r="R471" s="79" t="s">
        <v>2767</v>
      </c>
      <c r="S471" s="79" t="s">
        <v>2842</v>
      </c>
      <c r="T471" s="79" t="s">
        <v>1243</v>
      </c>
      <c r="U471" s="79" t="s">
        <v>1244</v>
      </c>
      <c r="V471" s="79" t="s">
        <v>707</v>
      </c>
      <c r="W471" s="79" t="s">
        <v>1245</v>
      </c>
      <c r="Y471" s="79" t="s">
        <v>1241</v>
      </c>
    </row>
    <row r="472" spans="2:25" ht="12.75" customHeight="1" x14ac:dyDescent="0.2">
      <c r="B472" s="106" t="s">
        <v>2278</v>
      </c>
      <c r="C472" s="106" t="s">
        <v>2278</v>
      </c>
      <c r="D472" s="106" t="s">
        <v>2277</v>
      </c>
      <c r="E472" s="107" t="str">
        <f t="shared" si="15"/>
        <v>NEW MATAMORAS, OH, 45767</v>
      </c>
      <c r="F472" s="106" t="s">
        <v>2277</v>
      </c>
      <c r="G472" s="106" t="s">
        <v>1926</v>
      </c>
      <c r="H472" s="106" t="s">
        <v>2782</v>
      </c>
      <c r="I472" s="106" t="s">
        <v>2784</v>
      </c>
      <c r="J472" s="106" t="s">
        <v>1927</v>
      </c>
      <c r="K472" s="106" t="s">
        <v>707</v>
      </c>
      <c r="L472" s="106" t="s">
        <v>1928</v>
      </c>
      <c r="N472" s="91">
        <f t="shared" si="16"/>
        <v>1</v>
      </c>
      <c r="O472" s="79" t="s">
        <v>1356</v>
      </c>
      <c r="P472" s="79" t="s">
        <v>1356</v>
      </c>
      <c r="Q472" s="79" t="s">
        <v>1355</v>
      </c>
      <c r="R472" s="79" t="s">
        <v>2762</v>
      </c>
      <c r="S472" s="79" t="s">
        <v>2790</v>
      </c>
      <c r="T472" s="79" t="s">
        <v>1357</v>
      </c>
      <c r="U472" s="79" t="s">
        <v>1252</v>
      </c>
      <c r="V472" s="79" t="s">
        <v>707</v>
      </c>
      <c r="W472" s="79" t="s">
        <v>1358</v>
      </c>
      <c r="Y472" s="79" t="s">
        <v>1355</v>
      </c>
    </row>
    <row r="473" spans="2:25" ht="12.75" customHeight="1" x14ac:dyDescent="0.2">
      <c r="B473" s="106" t="s">
        <v>2268</v>
      </c>
      <c r="C473" s="106" t="s">
        <v>2268</v>
      </c>
      <c r="D473" s="106" t="s">
        <v>2267</v>
      </c>
      <c r="E473" s="107" t="str">
        <f t="shared" si="15"/>
        <v>RAVENSWOOD, WV, 26164</v>
      </c>
      <c r="F473" s="106" t="s">
        <v>2267</v>
      </c>
      <c r="G473" s="106" t="s">
        <v>1908</v>
      </c>
      <c r="H473" s="106" t="s">
        <v>2782</v>
      </c>
      <c r="I473" s="106" t="s">
        <v>2764</v>
      </c>
      <c r="J473" s="106" t="s">
        <v>1909</v>
      </c>
      <c r="K473" s="106" t="s">
        <v>1489</v>
      </c>
      <c r="L473" s="106" t="s">
        <v>1910</v>
      </c>
      <c r="N473" s="91">
        <f t="shared" si="16"/>
        <v>1</v>
      </c>
      <c r="O473" s="79" t="s">
        <v>1594</v>
      </c>
      <c r="P473" s="79" t="s">
        <v>1594</v>
      </c>
      <c r="Q473" s="79" t="s">
        <v>1593</v>
      </c>
      <c r="R473" s="79" t="s">
        <v>2786</v>
      </c>
      <c r="S473" s="79" t="s">
        <v>2832</v>
      </c>
      <c r="T473" s="79" t="s">
        <v>1595</v>
      </c>
      <c r="U473" s="79" t="s">
        <v>1596</v>
      </c>
      <c r="V473" s="79" t="s">
        <v>707</v>
      </c>
      <c r="W473" s="79" t="s">
        <v>1597</v>
      </c>
      <c r="Y473" s="79" t="s">
        <v>1593</v>
      </c>
    </row>
    <row r="474" spans="2:25" ht="12.75" customHeight="1" x14ac:dyDescent="0.2">
      <c r="B474" s="106" t="s">
        <v>2270</v>
      </c>
      <c r="C474" s="106" t="s">
        <v>2270</v>
      </c>
      <c r="D474" s="106" t="s">
        <v>2269</v>
      </c>
      <c r="E474" s="107" t="str">
        <f t="shared" si="15"/>
        <v>NEW MARTINSVILLE, WV, 26155</v>
      </c>
      <c r="F474" s="106" t="s">
        <v>2269</v>
      </c>
      <c r="G474" s="106" t="s">
        <v>1913</v>
      </c>
      <c r="H474" s="106" t="s">
        <v>2782</v>
      </c>
      <c r="I474" s="106" t="s">
        <v>2764</v>
      </c>
      <c r="J474" s="106" t="s">
        <v>1914</v>
      </c>
      <c r="K474" s="106" t="s">
        <v>1489</v>
      </c>
      <c r="L474" s="106" t="s">
        <v>1915</v>
      </c>
      <c r="N474" s="91">
        <f t="shared" si="16"/>
        <v>1</v>
      </c>
      <c r="O474" s="79" t="s">
        <v>1746</v>
      </c>
      <c r="P474" s="79" t="s">
        <v>1746</v>
      </c>
      <c r="Q474" s="79" t="s">
        <v>1745</v>
      </c>
      <c r="R474" s="79" t="s">
        <v>2775</v>
      </c>
      <c r="S474" s="79" t="s">
        <v>2796</v>
      </c>
      <c r="T474" s="79" t="s">
        <v>1747</v>
      </c>
      <c r="U474" s="79" t="s">
        <v>1748</v>
      </c>
      <c r="V474" s="79" t="s">
        <v>707</v>
      </c>
      <c r="W474" s="79" t="s">
        <v>1749</v>
      </c>
      <c r="Y474" s="79" t="s">
        <v>1745</v>
      </c>
    </row>
    <row r="475" spans="2:25" ht="12.75" customHeight="1" x14ac:dyDescent="0.2">
      <c r="B475" s="106" t="s">
        <v>1242</v>
      </c>
      <c r="C475" s="106" t="s">
        <v>1242</v>
      </c>
      <c r="D475" s="106" t="s">
        <v>1241</v>
      </c>
      <c r="E475" s="107" t="str">
        <f t="shared" si="15"/>
        <v>MARSHALLVILLE, OH, 44645</v>
      </c>
      <c r="F475" s="106" t="s">
        <v>1241</v>
      </c>
      <c r="G475" s="106" t="s">
        <v>1243</v>
      </c>
      <c r="H475" s="106" t="s">
        <v>2767</v>
      </c>
      <c r="I475" s="106" t="s">
        <v>2842</v>
      </c>
      <c r="J475" s="106" t="s">
        <v>1244</v>
      </c>
      <c r="K475" s="106" t="s">
        <v>707</v>
      </c>
      <c r="L475" s="106" t="s">
        <v>1245</v>
      </c>
      <c r="N475" s="91">
        <f t="shared" si="16"/>
        <v>1</v>
      </c>
      <c r="O475" s="79" t="s">
        <v>2091</v>
      </c>
      <c r="P475" s="79" t="s">
        <v>2091</v>
      </c>
      <c r="Q475" s="79" t="s">
        <v>2090</v>
      </c>
      <c r="R475" s="79" t="s">
        <v>2780</v>
      </c>
      <c r="S475" s="79" t="s">
        <v>2820</v>
      </c>
      <c r="T475" s="79" t="s">
        <v>2092</v>
      </c>
      <c r="U475" s="79" t="s">
        <v>2093</v>
      </c>
      <c r="V475" s="79" t="s">
        <v>707</v>
      </c>
      <c r="W475" s="79" t="s">
        <v>2094</v>
      </c>
      <c r="Y475" s="79" t="s">
        <v>2090</v>
      </c>
    </row>
    <row r="476" spans="2:25" ht="12.75" customHeight="1" x14ac:dyDescent="0.2">
      <c r="B476" s="106" t="s">
        <v>1356</v>
      </c>
      <c r="C476" s="106" t="s">
        <v>1356</v>
      </c>
      <c r="D476" s="106" t="s">
        <v>1355</v>
      </c>
      <c r="E476" s="107" t="str">
        <f t="shared" si="15"/>
        <v>KINGSVILLE, OH, 44068</v>
      </c>
      <c r="F476" s="106" t="s">
        <v>1355</v>
      </c>
      <c r="G476" s="106" t="s">
        <v>1357</v>
      </c>
      <c r="H476" s="106" t="s">
        <v>2762</v>
      </c>
      <c r="I476" s="106" t="s">
        <v>2790</v>
      </c>
      <c r="J476" s="106" t="s">
        <v>1252</v>
      </c>
      <c r="K476" s="106" t="s">
        <v>707</v>
      </c>
      <c r="L476" s="106" t="s">
        <v>1358</v>
      </c>
      <c r="N476" s="91">
        <f t="shared" si="16"/>
        <v>1</v>
      </c>
      <c r="O476" s="79" t="s">
        <v>2096</v>
      </c>
      <c r="P476" s="79" t="s">
        <v>2096</v>
      </c>
      <c r="Q476" s="79" t="s">
        <v>2095</v>
      </c>
      <c r="R476" s="79" t="s">
        <v>2786</v>
      </c>
      <c r="S476" s="79" t="s">
        <v>2831</v>
      </c>
      <c r="T476" s="79" t="s">
        <v>2097</v>
      </c>
      <c r="U476" s="79" t="s">
        <v>1547</v>
      </c>
      <c r="V476" s="79" t="s">
        <v>707</v>
      </c>
      <c r="W476" s="79" t="s">
        <v>1548</v>
      </c>
      <c r="Y476" s="79" t="s">
        <v>2095</v>
      </c>
    </row>
    <row r="477" spans="2:25" ht="12.75" customHeight="1" x14ac:dyDescent="0.2">
      <c r="B477" s="106" t="s">
        <v>1594</v>
      </c>
      <c r="C477" s="106" t="s">
        <v>1594</v>
      </c>
      <c r="D477" s="106" t="s">
        <v>1593</v>
      </c>
      <c r="E477" s="107" t="str">
        <f t="shared" si="15"/>
        <v>CORNING, OH, 43730</v>
      </c>
      <c r="F477" s="106" t="s">
        <v>1593</v>
      </c>
      <c r="G477" s="106" t="s">
        <v>1595</v>
      </c>
      <c r="H477" s="106" t="s">
        <v>2786</v>
      </c>
      <c r="I477" s="106" t="s">
        <v>2832</v>
      </c>
      <c r="J477" s="106" t="s">
        <v>1596</v>
      </c>
      <c r="K477" s="106" t="s">
        <v>707</v>
      </c>
      <c r="L477" s="106" t="s">
        <v>1597</v>
      </c>
      <c r="N477" s="91">
        <f t="shared" si="16"/>
        <v>1</v>
      </c>
      <c r="O477" s="79" t="s">
        <v>1609</v>
      </c>
      <c r="P477" s="79" t="s">
        <v>1609</v>
      </c>
      <c r="Q477" s="79" t="s">
        <v>1608</v>
      </c>
      <c r="R477" s="79" t="s">
        <v>2786</v>
      </c>
      <c r="S477" s="79" t="s">
        <v>2831</v>
      </c>
      <c r="T477" s="79" t="s">
        <v>1546</v>
      </c>
      <c r="U477" s="79" t="s">
        <v>1547</v>
      </c>
      <c r="V477" s="79" t="s">
        <v>707</v>
      </c>
      <c r="W477" s="79" t="s">
        <v>1548</v>
      </c>
      <c r="Y477" s="79" t="s">
        <v>1608</v>
      </c>
    </row>
    <row r="478" spans="2:25" ht="12.75" customHeight="1" x14ac:dyDescent="0.2">
      <c r="B478" s="106" t="s">
        <v>1746</v>
      </c>
      <c r="C478" s="106" t="s">
        <v>1746</v>
      </c>
      <c r="D478" s="106" t="s">
        <v>1745</v>
      </c>
      <c r="E478" s="107" t="str">
        <f t="shared" si="15"/>
        <v>BELLE CENTER, OH, 43310</v>
      </c>
      <c r="F478" s="106" t="s">
        <v>1745</v>
      </c>
      <c r="G478" s="106" t="s">
        <v>1747</v>
      </c>
      <c r="H478" s="106" t="s">
        <v>2775</v>
      </c>
      <c r="I478" s="106" t="s">
        <v>2796</v>
      </c>
      <c r="J478" s="106" t="s">
        <v>1748</v>
      </c>
      <c r="K478" s="106" t="s">
        <v>707</v>
      </c>
      <c r="L478" s="106" t="s">
        <v>1749</v>
      </c>
      <c r="N478" s="91">
        <f t="shared" si="16"/>
        <v>1</v>
      </c>
      <c r="O478" s="79" t="s">
        <v>1607</v>
      </c>
      <c r="P478" s="79" t="s">
        <v>1607</v>
      </c>
      <c r="Q478" s="79" t="s">
        <v>1606</v>
      </c>
      <c r="R478" s="79" t="s">
        <v>2834</v>
      </c>
      <c r="S478" s="79" t="s">
        <v>2840</v>
      </c>
      <c r="T478" s="79" t="s">
        <v>1603</v>
      </c>
      <c r="U478" s="79" t="s">
        <v>1604</v>
      </c>
      <c r="V478" s="79" t="s">
        <v>707</v>
      </c>
      <c r="W478" s="79" t="s">
        <v>1605</v>
      </c>
      <c r="Y478" s="79" t="s">
        <v>1606</v>
      </c>
    </row>
    <row r="479" spans="2:25" ht="12.75" customHeight="1" x14ac:dyDescent="0.2">
      <c r="B479" s="106" t="s">
        <v>2091</v>
      </c>
      <c r="C479" s="106" t="s">
        <v>2091</v>
      </c>
      <c r="D479" s="106" t="s">
        <v>2090</v>
      </c>
      <c r="E479" s="107" t="str">
        <f t="shared" si="15"/>
        <v>CHILLICOTHE, OH, 45601</v>
      </c>
      <c r="F479" s="106" t="s">
        <v>2090</v>
      </c>
      <c r="G479" s="106" t="s">
        <v>2092</v>
      </c>
      <c r="H479" s="106" t="s">
        <v>2780</v>
      </c>
      <c r="I479" s="106" t="s">
        <v>2820</v>
      </c>
      <c r="J479" s="106" t="s">
        <v>2093</v>
      </c>
      <c r="K479" s="106" t="s">
        <v>707</v>
      </c>
      <c r="L479" s="106" t="s">
        <v>2094</v>
      </c>
      <c r="N479" s="91">
        <f t="shared" si="16"/>
        <v>1</v>
      </c>
      <c r="O479" s="79" t="s">
        <v>1602</v>
      </c>
      <c r="P479" s="79" t="s">
        <v>1602</v>
      </c>
      <c r="Q479" s="79" t="s">
        <v>1601</v>
      </c>
      <c r="R479" s="79" t="s">
        <v>2834</v>
      </c>
      <c r="S479" s="79" t="s">
        <v>2840</v>
      </c>
      <c r="T479" s="79" t="s">
        <v>1603</v>
      </c>
      <c r="U479" s="79" t="s">
        <v>1604</v>
      </c>
      <c r="V479" s="79" t="s">
        <v>707</v>
      </c>
      <c r="W479" s="79" t="s">
        <v>1605</v>
      </c>
      <c r="Y479" s="79" t="s">
        <v>1601</v>
      </c>
    </row>
    <row r="480" spans="2:25" ht="12.75" customHeight="1" x14ac:dyDescent="0.2">
      <c r="B480" s="106" t="s">
        <v>2096</v>
      </c>
      <c r="C480" s="106" t="s">
        <v>2096</v>
      </c>
      <c r="D480" s="106" t="s">
        <v>2095</v>
      </c>
      <c r="E480" s="107" t="str">
        <f t="shared" si="15"/>
        <v>LANCASTER, OH, 43130</v>
      </c>
      <c r="F480" s="106" t="s">
        <v>2095</v>
      </c>
      <c r="G480" s="106" t="s">
        <v>2097</v>
      </c>
      <c r="H480" s="106" t="s">
        <v>2786</v>
      </c>
      <c r="I480" s="106" t="s">
        <v>2831</v>
      </c>
      <c r="J480" s="106" t="s">
        <v>1547</v>
      </c>
      <c r="K480" s="106" t="s">
        <v>707</v>
      </c>
      <c r="L480" s="106" t="s">
        <v>1548</v>
      </c>
      <c r="N480" s="91">
        <f t="shared" si="16"/>
        <v>2</v>
      </c>
      <c r="O480" s="79" t="s">
        <v>1602</v>
      </c>
      <c r="P480" s="79" t="s">
        <v>1602</v>
      </c>
      <c r="Q480" s="79" t="s">
        <v>2684</v>
      </c>
      <c r="R480" s="79" t="s">
        <v>2834</v>
      </c>
      <c r="S480" s="79" t="s">
        <v>2840</v>
      </c>
      <c r="T480" s="79" t="s">
        <v>1603</v>
      </c>
      <c r="U480" s="79" t="s">
        <v>1604</v>
      </c>
      <c r="V480" s="79" t="s">
        <v>707</v>
      </c>
      <c r="W480" s="79" t="s">
        <v>1605</v>
      </c>
      <c r="Y480" s="79" t="s">
        <v>2684</v>
      </c>
    </row>
    <row r="481" spans="2:25" ht="12.75" customHeight="1" x14ac:dyDescent="0.2">
      <c r="B481" s="106" t="s">
        <v>1609</v>
      </c>
      <c r="C481" s="106" t="s">
        <v>1609</v>
      </c>
      <c r="D481" s="106" t="s">
        <v>1608</v>
      </c>
      <c r="E481" s="107" t="str">
        <f t="shared" si="15"/>
        <v>LANCASTER, OH, 43130</v>
      </c>
      <c r="F481" s="106" t="s">
        <v>1608</v>
      </c>
      <c r="G481" s="106" t="s">
        <v>1546</v>
      </c>
      <c r="H481" s="106" t="s">
        <v>2786</v>
      </c>
      <c r="I481" s="106" t="s">
        <v>2831</v>
      </c>
      <c r="J481" s="106" t="s">
        <v>1547</v>
      </c>
      <c r="K481" s="106" t="s">
        <v>707</v>
      </c>
      <c r="L481" s="106" t="s">
        <v>1548</v>
      </c>
      <c r="N481" s="91">
        <f t="shared" si="16"/>
        <v>3</v>
      </c>
      <c r="O481" s="79" t="s">
        <v>1602</v>
      </c>
      <c r="P481" s="79" t="s">
        <v>1602</v>
      </c>
      <c r="Q481" s="79" t="s">
        <v>2685</v>
      </c>
      <c r="R481" s="79" t="s">
        <v>2834</v>
      </c>
      <c r="S481" s="79" t="s">
        <v>2840</v>
      </c>
      <c r="T481" s="79" t="s">
        <v>1603</v>
      </c>
      <c r="U481" s="79" t="s">
        <v>1604</v>
      </c>
      <c r="V481" s="79" t="s">
        <v>707</v>
      </c>
      <c r="W481" s="79" t="s">
        <v>1605</v>
      </c>
      <c r="Y481" s="79" t="s">
        <v>2685</v>
      </c>
    </row>
    <row r="482" spans="2:25" ht="12.75" customHeight="1" x14ac:dyDescent="0.2">
      <c r="B482" s="106" t="s">
        <v>1607</v>
      </c>
      <c r="C482" s="106" t="s">
        <v>1607</v>
      </c>
      <c r="D482" s="106" t="s">
        <v>1606</v>
      </c>
      <c r="E482" s="107" t="str">
        <f t="shared" si="15"/>
        <v>GROVE CITY, OH, 43123</v>
      </c>
      <c r="F482" s="106" t="s">
        <v>1606</v>
      </c>
      <c r="G482" s="106" t="s">
        <v>1603</v>
      </c>
      <c r="H482" s="106" t="s">
        <v>2834</v>
      </c>
      <c r="I482" s="106" t="s">
        <v>2840</v>
      </c>
      <c r="J482" s="106" t="s">
        <v>1604</v>
      </c>
      <c r="K482" s="106" t="s">
        <v>707</v>
      </c>
      <c r="L482" s="106" t="s">
        <v>1605</v>
      </c>
      <c r="N482" s="91">
        <f t="shared" si="16"/>
        <v>4</v>
      </c>
      <c r="O482" s="79" t="s">
        <v>1602</v>
      </c>
      <c r="P482" s="79" t="s">
        <v>1602</v>
      </c>
      <c r="Q482" s="79" t="s">
        <v>2686</v>
      </c>
      <c r="R482" s="79" t="s">
        <v>2834</v>
      </c>
      <c r="S482" s="79" t="s">
        <v>2840</v>
      </c>
      <c r="T482" s="79" t="s">
        <v>1603</v>
      </c>
      <c r="U482" s="79" t="s">
        <v>1604</v>
      </c>
      <c r="V482" s="79" t="s">
        <v>707</v>
      </c>
      <c r="W482" s="79" t="s">
        <v>1605</v>
      </c>
      <c r="Y482" s="79" t="s">
        <v>2686</v>
      </c>
    </row>
    <row r="483" spans="2:25" ht="12.75" customHeight="1" x14ac:dyDescent="0.2">
      <c r="B483" s="106" t="s">
        <v>1602</v>
      </c>
      <c r="C483" s="106" t="s">
        <v>1602</v>
      </c>
      <c r="D483" s="106" t="s">
        <v>1601</v>
      </c>
      <c r="E483" s="107" t="str">
        <f t="shared" si="15"/>
        <v>GROVE CITY, OH, 43123</v>
      </c>
      <c r="F483" s="106" t="s">
        <v>1601</v>
      </c>
      <c r="G483" s="106" t="s">
        <v>1603</v>
      </c>
      <c r="H483" s="106" t="s">
        <v>2834</v>
      </c>
      <c r="I483" s="106" t="s">
        <v>2840</v>
      </c>
      <c r="J483" s="106" t="s">
        <v>1604</v>
      </c>
      <c r="K483" s="106" t="s">
        <v>707</v>
      </c>
      <c r="L483" s="106" t="s">
        <v>1605</v>
      </c>
      <c r="N483" s="91">
        <f t="shared" si="16"/>
        <v>1</v>
      </c>
      <c r="O483" s="79" t="s">
        <v>1513</v>
      </c>
      <c r="P483" s="79" t="s">
        <v>1513</v>
      </c>
      <c r="Q483" s="79" t="s">
        <v>1512</v>
      </c>
      <c r="R483" s="79" t="s">
        <v>2786</v>
      </c>
      <c r="S483" s="79" t="s">
        <v>2793</v>
      </c>
      <c r="T483" s="79" t="s">
        <v>1514</v>
      </c>
      <c r="U483" s="79" t="s">
        <v>743</v>
      </c>
      <c r="V483" s="79" t="s">
        <v>707</v>
      </c>
      <c r="W483" s="79" t="s">
        <v>744</v>
      </c>
      <c r="Y483" s="79" t="s">
        <v>1512</v>
      </c>
    </row>
    <row r="484" spans="2:25" ht="12.75" customHeight="1" x14ac:dyDescent="0.2">
      <c r="B484" s="143" t="s">
        <v>1602</v>
      </c>
      <c r="C484" s="143" t="s">
        <v>1602</v>
      </c>
      <c r="D484" s="143" t="s">
        <v>2684</v>
      </c>
      <c r="E484" s="107" t="str">
        <f t="shared" si="15"/>
        <v>GROVE CITY, OH, 43123</v>
      </c>
      <c r="F484" s="143" t="s">
        <v>2684</v>
      </c>
      <c r="G484" s="143" t="s">
        <v>1603</v>
      </c>
      <c r="H484" s="143" t="s">
        <v>2786</v>
      </c>
      <c r="I484" s="143" t="s">
        <v>2840</v>
      </c>
      <c r="J484" s="143" t="s">
        <v>1604</v>
      </c>
      <c r="K484" s="143" t="s">
        <v>707</v>
      </c>
      <c r="L484" s="143" t="s">
        <v>1605</v>
      </c>
      <c r="N484" s="91">
        <f t="shared" si="16"/>
        <v>2</v>
      </c>
      <c r="O484" s="79" t="s">
        <v>1513</v>
      </c>
      <c r="P484" s="79" t="s">
        <v>1513</v>
      </c>
      <c r="Q484" s="79" t="s">
        <v>2671</v>
      </c>
      <c r="R484" s="79" t="s">
        <v>2786</v>
      </c>
      <c r="S484" s="79" t="s">
        <v>2793</v>
      </c>
      <c r="T484" s="79" t="s">
        <v>2672</v>
      </c>
      <c r="U484" s="79" t="s">
        <v>743</v>
      </c>
      <c r="V484" s="79" t="s">
        <v>707</v>
      </c>
      <c r="W484" s="79" t="s">
        <v>744</v>
      </c>
      <c r="Y484" s="79" t="s">
        <v>2671</v>
      </c>
    </row>
    <row r="485" spans="2:25" ht="12.75" customHeight="1" x14ac:dyDescent="0.2">
      <c r="B485" s="143" t="s">
        <v>1602</v>
      </c>
      <c r="C485" s="143" t="s">
        <v>1602</v>
      </c>
      <c r="D485" s="143" t="s">
        <v>2685</v>
      </c>
      <c r="E485" s="107" t="str">
        <f t="shared" si="15"/>
        <v>GROVE CITY, OH, 43123</v>
      </c>
      <c r="F485" s="143" t="s">
        <v>2685</v>
      </c>
      <c r="G485" s="143" t="s">
        <v>1603</v>
      </c>
      <c r="H485" s="143" t="s">
        <v>2834</v>
      </c>
      <c r="I485" s="143" t="s">
        <v>2840</v>
      </c>
      <c r="J485" s="143" t="s">
        <v>1604</v>
      </c>
      <c r="K485" s="143" t="s">
        <v>707</v>
      </c>
      <c r="L485" s="143" t="s">
        <v>1605</v>
      </c>
      <c r="N485" s="91">
        <f t="shared" si="16"/>
        <v>3</v>
      </c>
      <c r="O485" s="79" t="s">
        <v>1513</v>
      </c>
      <c r="P485" s="79" t="s">
        <v>1513</v>
      </c>
      <c r="Q485" s="79" t="s">
        <v>2673</v>
      </c>
      <c r="R485" s="79" t="s">
        <v>2786</v>
      </c>
      <c r="S485" s="79" t="s">
        <v>2793</v>
      </c>
      <c r="T485" s="79" t="s">
        <v>2672</v>
      </c>
      <c r="U485" s="79" t="s">
        <v>743</v>
      </c>
      <c r="V485" s="79" t="s">
        <v>707</v>
      </c>
      <c r="W485" s="79" t="s">
        <v>744</v>
      </c>
      <c r="Y485" s="79" t="s">
        <v>2673</v>
      </c>
    </row>
    <row r="486" spans="2:25" ht="12.75" customHeight="1" x14ac:dyDescent="0.2">
      <c r="B486" s="143" t="s">
        <v>1602</v>
      </c>
      <c r="C486" s="143" t="s">
        <v>1602</v>
      </c>
      <c r="D486" s="143" t="s">
        <v>2686</v>
      </c>
      <c r="E486" s="107" t="str">
        <f t="shared" si="15"/>
        <v>GROVE CITY, OH, 43123</v>
      </c>
      <c r="F486" s="143" t="s">
        <v>2686</v>
      </c>
      <c r="G486" s="143" t="s">
        <v>1603</v>
      </c>
      <c r="H486" s="143" t="s">
        <v>2834</v>
      </c>
      <c r="I486" s="143" t="s">
        <v>2840</v>
      </c>
      <c r="J486" s="143" t="s">
        <v>1604</v>
      </c>
      <c r="K486" s="143" t="s">
        <v>707</v>
      </c>
      <c r="L486" s="143" t="s">
        <v>1605</v>
      </c>
      <c r="N486" s="91">
        <f t="shared" si="16"/>
        <v>4</v>
      </c>
      <c r="O486" s="79" t="s">
        <v>1513</v>
      </c>
      <c r="P486" s="79" t="s">
        <v>1513</v>
      </c>
      <c r="Q486" s="79" t="s">
        <v>2674</v>
      </c>
      <c r="R486" s="79" t="s">
        <v>2786</v>
      </c>
      <c r="S486" s="79" t="s">
        <v>2793</v>
      </c>
      <c r="T486" s="79" t="s">
        <v>2675</v>
      </c>
      <c r="U486" s="79" t="s">
        <v>743</v>
      </c>
      <c r="V486" s="79" t="s">
        <v>707</v>
      </c>
      <c r="W486" s="79" t="s">
        <v>744</v>
      </c>
      <c r="Y486" s="79" t="s">
        <v>2674</v>
      </c>
    </row>
    <row r="487" spans="2:25" ht="12.75" customHeight="1" x14ac:dyDescent="0.2">
      <c r="B487" s="106" t="s">
        <v>1513</v>
      </c>
      <c r="C487" s="106" t="s">
        <v>1513</v>
      </c>
      <c r="D487" s="106" t="s">
        <v>1512</v>
      </c>
      <c r="E487" s="107" t="str">
        <f t="shared" si="15"/>
        <v>COSHOCTON, OH, 43812</v>
      </c>
      <c r="F487" s="106" t="s">
        <v>1512</v>
      </c>
      <c r="G487" s="106" t="s">
        <v>1514</v>
      </c>
      <c r="H487" s="106" t="s">
        <v>2786</v>
      </c>
      <c r="I487" s="106" t="s">
        <v>2793</v>
      </c>
      <c r="J487" s="106" t="s">
        <v>743</v>
      </c>
      <c r="K487" s="106" t="s">
        <v>707</v>
      </c>
      <c r="L487" s="106" t="s">
        <v>744</v>
      </c>
      <c r="N487" s="91">
        <f t="shared" si="16"/>
        <v>1</v>
      </c>
      <c r="O487" s="79" t="s">
        <v>1516</v>
      </c>
      <c r="P487" s="79" t="s">
        <v>1516</v>
      </c>
      <c r="Q487" s="79" t="s">
        <v>1515</v>
      </c>
      <c r="R487" s="79" t="s">
        <v>2786</v>
      </c>
      <c r="S487" s="79" t="s">
        <v>2795</v>
      </c>
      <c r="T487" s="79" t="s">
        <v>847</v>
      </c>
      <c r="U487" s="79" t="s">
        <v>848</v>
      </c>
      <c r="V487" s="79" t="s">
        <v>707</v>
      </c>
      <c r="W487" s="79" t="s">
        <v>849</v>
      </c>
      <c r="Y487" s="79" t="s">
        <v>1515</v>
      </c>
    </row>
    <row r="488" spans="2:25" ht="12.75" customHeight="1" x14ac:dyDescent="0.2">
      <c r="B488" s="143" t="s">
        <v>1513</v>
      </c>
      <c r="C488" s="143" t="s">
        <v>1513</v>
      </c>
      <c r="D488" s="143" t="s">
        <v>2671</v>
      </c>
      <c r="E488" s="107" t="str">
        <f t="shared" si="15"/>
        <v>COSHOCTON, OH, 43812</v>
      </c>
      <c r="F488" s="143" t="s">
        <v>2671</v>
      </c>
      <c r="G488" s="143" t="s">
        <v>2672</v>
      </c>
      <c r="H488" s="143" t="s">
        <v>2786</v>
      </c>
      <c r="I488" s="143" t="s">
        <v>2793</v>
      </c>
      <c r="J488" s="143" t="s">
        <v>743</v>
      </c>
      <c r="K488" s="143" t="s">
        <v>707</v>
      </c>
      <c r="L488" s="143" t="s">
        <v>744</v>
      </c>
      <c r="N488" s="91">
        <f t="shared" si="16"/>
        <v>1</v>
      </c>
      <c r="O488" s="79" t="s">
        <v>1508</v>
      </c>
      <c r="P488" s="79" t="s">
        <v>1508</v>
      </c>
      <c r="Q488" s="79" t="s">
        <v>1507</v>
      </c>
      <c r="R488" s="79" t="s">
        <v>2786</v>
      </c>
      <c r="S488" s="79" t="s">
        <v>2830</v>
      </c>
      <c r="T488" s="79" t="s">
        <v>1509</v>
      </c>
      <c r="U488" s="79" t="s">
        <v>1510</v>
      </c>
      <c r="V488" s="79" t="s">
        <v>707</v>
      </c>
      <c r="W488" s="79" t="s">
        <v>1511</v>
      </c>
      <c r="Y488" s="79" t="s">
        <v>1507</v>
      </c>
    </row>
    <row r="489" spans="2:25" ht="12.75" customHeight="1" x14ac:dyDescent="0.2">
      <c r="B489" s="143" t="s">
        <v>1513</v>
      </c>
      <c r="C489" s="143" t="s">
        <v>1513</v>
      </c>
      <c r="D489" s="143" t="s">
        <v>2673</v>
      </c>
      <c r="E489" s="107" t="str">
        <f t="shared" si="15"/>
        <v>COSHOCTON, OH, 43812</v>
      </c>
      <c r="F489" s="143" t="s">
        <v>2673</v>
      </c>
      <c r="G489" s="143" t="s">
        <v>2672</v>
      </c>
      <c r="H489" s="143" t="s">
        <v>2786</v>
      </c>
      <c r="I489" s="143" t="s">
        <v>2793</v>
      </c>
      <c r="J489" s="143" t="s">
        <v>743</v>
      </c>
      <c r="K489" s="143" t="s">
        <v>707</v>
      </c>
      <c r="L489" s="143" t="s">
        <v>744</v>
      </c>
      <c r="N489" s="91">
        <f t="shared" si="16"/>
        <v>1</v>
      </c>
      <c r="O489" s="79" t="s">
        <v>2680</v>
      </c>
      <c r="P489" s="79" t="s">
        <v>2680</v>
      </c>
      <c r="Q489" s="79" t="s">
        <v>2679</v>
      </c>
      <c r="R489" s="79" t="s">
        <v>2786</v>
      </c>
      <c r="S489" s="79" t="s">
        <v>2830</v>
      </c>
      <c r="T489" s="79" t="s">
        <v>1538</v>
      </c>
      <c r="U489" s="79" t="s">
        <v>1539</v>
      </c>
      <c r="V489" s="79" t="s">
        <v>707</v>
      </c>
      <c r="W489" s="79" t="s">
        <v>1540</v>
      </c>
      <c r="Y489" s="79" t="s">
        <v>2679</v>
      </c>
    </row>
    <row r="490" spans="2:25" ht="12.75" customHeight="1" x14ac:dyDescent="0.2">
      <c r="B490" s="143" t="s">
        <v>1513</v>
      </c>
      <c r="C490" s="143" t="s">
        <v>1513</v>
      </c>
      <c r="D490" s="143" t="s">
        <v>2674</v>
      </c>
      <c r="E490" s="107" t="str">
        <f t="shared" si="15"/>
        <v>COSHOCTON, OH, 43812</v>
      </c>
      <c r="F490" s="143" t="s">
        <v>2674</v>
      </c>
      <c r="G490" s="143" t="s">
        <v>2675</v>
      </c>
      <c r="H490" s="143" t="s">
        <v>2786</v>
      </c>
      <c r="I490" s="143" t="s">
        <v>2793</v>
      </c>
      <c r="J490" s="143" t="s">
        <v>743</v>
      </c>
      <c r="K490" s="143" t="s">
        <v>707</v>
      </c>
      <c r="L490" s="143" t="s">
        <v>744</v>
      </c>
      <c r="N490" s="91">
        <f t="shared" si="16"/>
        <v>1</v>
      </c>
      <c r="O490" s="79" t="s">
        <v>1545</v>
      </c>
      <c r="P490" s="79" t="s">
        <v>1545</v>
      </c>
      <c r="Q490" s="79" t="s">
        <v>1544</v>
      </c>
      <c r="R490" s="79" t="s">
        <v>2786</v>
      </c>
      <c r="S490" s="79" t="s">
        <v>2831</v>
      </c>
      <c r="T490" s="79" t="s">
        <v>1546</v>
      </c>
      <c r="U490" s="79" t="s">
        <v>1547</v>
      </c>
      <c r="V490" s="79" t="s">
        <v>707</v>
      </c>
      <c r="W490" s="79" t="s">
        <v>1548</v>
      </c>
      <c r="Y490" s="79" t="s">
        <v>1544</v>
      </c>
    </row>
    <row r="491" spans="2:25" ht="12.75" customHeight="1" x14ac:dyDescent="0.2">
      <c r="B491" s="106" t="s">
        <v>1516</v>
      </c>
      <c r="C491" s="106" t="s">
        <v>1516</v>
      </c>
      <c r="D491" s="106" t="s">
        <v>1515</v>
      </c>
      <c r="E491" s="107" t="str">
        <f t="shared" si="15"/>
        <v>DERWENT, OH, 43733</v>
      </c>
      <c r="F491" s="106" t="s">
        <v>1515</v>
      </c>
      <c r="G491" s="106" t="s">
        <v>847</v>
      </c>
      <c r="H491" s="106" t="s">
        <v>2786</v>
      </c>
      <c r="I491" s="106" t="s">
        <v>2795</v>
      </c>
      <c r="J491" s="106" t="s">
        <v>848</v>
      </c>
      <c r="K491" s="106" t="s">
        <v>707</v>
      </c>
      <c r="L491" s="106" t="s">
        <v>849</v>
      </c>
      <c r="N491" s="91">
        <f t="shared" si="16"/>
        <v>1</v>
      </c>
      <c r="O491" s="79" t="s">
        <v>1537</v>
      </c>
      <c r="P491" s="79" t="s">
        <v>1537</v>
      </c>
      <c r="Q491" s="79" t="s">
        <v>1536</v>
      </c>
      <c r="R491" s="79" t="s">
        <v>2786</v>
      </c>
      <c r="S491" s="79" t="s">
        <v>2830</v>
      </c>
      <c r="T491" s="79" t="s">
        <v>1538</v>
      </c>
      <c r="U491" s="79" t="s">
        <v>1539</v>
      </c>
      <c r="V491" s="79" t="s">
        <v>707</v>
      </c>
      <c r="W491" s="79" t="s">
        <v>1540</v>
      </c>
      <c r="Y491" s="79" t="s">
        <v>1536</v>
      </c>
    </row>
    <row r="492" spans="2:25" ht="12.75" customHeight="1" x14ac:dyDescent="0.2">
      <c r="B492" s="106" t="s">
        <v>1508</v>
      </c>
      <c r="C492" s="106" t="s">
        <v>1508</v>
      </c>
      <c r="D492" s="106" t="s">
        <v>1507</v>
      </c>
      <c r="E492" s="107" t="str">
        <f t="shared" si="15"/>
        <v>DRESDEN, OH, 43821</v>
      </c>
      <c r="F492" s="106" t="s">
        <v>1507</v>
      </c>
      <c r="G492" s="106" t="s">
        <v>1509</v>
      </c>
      <c r="H492" s="106" t="s">
        <v>2786</v>
      </c>
      <c r="I492" s="106" t="s">
        <v>2830</v>
      </c>
      <c r="J492" s="106" t="s">
        <v>1510</v>
      </c>
      <c r="K492" s="106" t="s">
        <v>707</v>
      </c>
      <c r="L492" s="106" t="s">
        <v>1511</v>
      </c>
      <c r="N492" s="91">
        <f t="shared" si="16"/>
        <v>2</v>
      </c>
      <c r="O492" s="79" t="s">
        <v>1537</v>
      </c>
      <c r="P492" s="79" t="s">
        <v>1537</v>
      </c>
      <c r="Q492" s="79" t="s">
        <v>2678</v>
      </c>
      <c r="R492" s="79" t="s">
        <v>2786</v>
      </c>
      <c r="S492" s="79" t="s">
        <v>2830</v>
      </c>
      <c r="T492" s="79" t="s">
        <v>1538</v>
      </c>
      <c r="U492" s="79" t="s">
        <v>1539</v>
      </c>
      <c r="V492" s="79" t="s">
        <v>707</v>
      </c>
      <c r="W492" s="79" t="s">
        <v>1540</v>
      </c>
      <c r="Y492" s="79" t="s">
        <v>2678</v>
      </c>
    </row>
    <row r="493" spans="2:25" ht="12.75" customHeight="1" x14ac:dyDescent="0.2">
      <c r="B493" s="143" t="s">
        <v>2680</v>
      </c>
      <c r="C493" s="143" t="s">
        <v>2680</v>
      </c>
      <c r="D493" s="143" t="s">
        <v>2679</v>
      </c>
      <c r="E493" s="107" t="str">
        <f t="shared" si="15"/>
        <v>EAST FULTONHAM, OH, 43735</v>
      </c>
      <c r="F493" s="143" t="s">
        <v>2679</v>
      </c>
      <c r="G493" s="143" t="s">
        <v>1538</v>
      </c>
      <c r="H493" s="143" t="s">
        <v>2786</v>
      </c>
      <c r="I493" s="143" t="s">
        <v>2830</v>
      </c>
      <c r="J493" s="143" t="s">
        <v>1539</v>
      </c>
      <c r="K493" s="143" t="s">
        <v>707</v>
      </c>
      <c r="L493" s="143" t="s">
        <v>1540</v>
      </c>
      <c r="N493" s="91">
        <f t="shared" si="16"/>
        <v>1</v>
      </c>
      <c r="O493" s="79" t="s">
        <v>1542</v>
      </c>
      <c r="P493" s="79" t="s">
        <v>1542</v>
      </c>
      <c r="Q493" s="79" t="s">
        <v>1541</v>
      </c>
      <c r="R493" s="79" t="s">
        <v>2786</v>
      </c>
      <c r="S493" s="79" t="s">
        <v>2795</v>
      </c>
      <c r="T493" s="79" t="s">
        <v>1543</v>
      </c>
      <c r="U493" s="79" t="s">
        <v>848</v>
      </c>
      <c r="V493" s="79" t="s">
        <v>707</v>
      </c>
      <c r="W493" s="79" t="s">
        <v>849</v>
      </c>
      <c r="Y493" s="79" t="s">
        <v>1541</v>
      </c>
    </row>
    <row r="494" spans="2:25" ht="12.75" customHeight="1" x14ac:dyDescent="0.2">
      <c r="B494" s="106" t="s">
        <v>1545</v>
      </c>
      <c r="C494" s="106" t="s">
        <v>1545</v>
      </c>
      <c r="D494" s="106" t="s">
        <v>1544</v>
      </c>
      <c r="E494" s="107" t="str">
        <f t="shared" si="15"/>
        <v>LANCASTER, OH, 43130</v>
      </c>
      <c r="F494" s="106" t="s">
        <v>1544</v>
      </c>
      <c r="G494" s="106" t="s">
        <v>1546</v>
      </c>
      <c r="H494" s="106" t="s">
        <v>2786</v>
      </c>
      <c r="I494" s="106" t="s">
        <v>2831</v>
      </c>
      <c r="J494" s="106" t="s">
        <v>1547</v>
      </c>
      <c r="K494" s="106" t="s">
        <v>707</v>
      </c>
      <c r="L494" s="106" t="s">
        <v>1548</v>
      </c>
      <c r="N494" s="91">
        <f t="shared" si="16"/>
        <v>1</v>
      </c>
      <c r="O494" s="79" t="s">
        <v>854</v>
      </c>
      <c r="P494" s="79" t="s">
        <v>854</v>
      </c>
      <c r="Q494" s="79" t="s">
        <v>853</v>
      </c>
      <c r="R494" s="79" t="s">
        <v>2804</v>
      </c>
      <c r="S494" s="79" t="s">
        <v>2851</v>
      </c>
      <c r="T494" s="79" t="s">
        <v>855</v>
      </c>
      <c r="U494" s="79" t="s">
        <v>856</v>
      </c>
      <c r="V494" s="79" t="s">
        <v>707</v>
      </c>
      <c r="W494" s="79" t="s">
        <v>857</v>
      </c>
      <c r="Y494" s="79" t="s">
        <v>853</v>
      </c>
    </row>
    <row r="495" spans="2:25" ht="12.75" customHeight="1" x14ac:dyDescent="0.2">
      <c r="B495" s="106" t="s">
        <v>1537</v>
      </c>
      <c r="C495" s="106" t="s">
        <v>1537</v>
      </c>
      <c r="D495" s="106" t="s">
        <v>1536</v>
      </c>
      <c r="E495" s="107" t="str">
        <f t="shared" si="15"/>
        <v>EAST FULTONHAM, OH, 43735</v>
      </c>
      <c r="F495" s="106" t="s">
        <v>1536</v>
      </c>
      <c r="G495" s="106" t="s">
        <v>1538</v>
      </c>
      <c r="H495" s="106" t="s">
        <v>2786</v>
      </c>
      <c r="I495" s="106" t="s">
        <v>2830</v>
      </c>
      <c r="J495" s="106" t="s">
        <v>1539</v>
      </c>
      <c r="K495" s="106" t="s">
        <v>707</v>
      </c>
      <c r="L495" s="106" t="s">
        <v>1540</v>
      </c>
      <c r="N495" s="91">
        <f t="shared" si="16"/>
        <v>1</v>
      </c>
      <c r="O495" s="79" t="s">
        <v>1662</v>
      </c>
      <c r="P495" s="79" t="s">
        <v>1662</v>
      </c>
      <c r="Q495" s="79" t="s">
        <v>1661</v>
      </c>
      <c r="R495" s="79" t="s">
        <v>2834</v>
      </c>
      <c r="S495" s="79" t="s">
        <v>2840</v>
      </c>
      <c r="T495" s="79" t="s">
        <v>1663</v>
      </c>
      <c r="U495" s="79" t="s">
        <v>1664</v>
      </c>
      <c r="V495" s="79" t="s">
        <v>707</v>
      </c>
      <c r="W495" s="79" t="s">
        <v>1665</v>
      </c>
      <c r="Y495" s="79" t="s">
        <v>1661</v>
      </c>
    </row>
    <row r="496" spans="2:25" ht="12.75" customHeight="1" x14ac:dyDescent="0.2">
      <c r="B496" s="143" t="s">
        <v>1537</v>
      </c>
      <c r="C496" s="143" t="s">
        <v>1537</v>
      </c>
      <c r="D496" s="143" t="s">
        <v>2678</v>
      </c>
      <c r="E496" s="107" t="str">
        <f t="shared" si="15"/>
        <v>EAST FULTONHAM, OH, 43735</v>
      </c>
      <c r="F496" s="143" t="s">
        <v>2678</v>
      </c>
      <c r="G496" s="143" t="s">
        <v>1538</v>
      </c>
      <c r="H496" s="143" t="s">
        <v>2786</v>
      </c>
      <c r="I496" s="143" t="s">
        <v>2830</v>
      </c>
      <c r="J496" s="143" t="s">
        <v>1539</v>
      </c>
      <c r="K496" s="143" t="s">
        <v>707</v>
      </c>
      <c r="L496" s="143" t="s">
        <v>1540</v>
      </c>
      <c r="N496" s="91">
        <f t="shared" si="16"/>
        <v>1</v>
      </c>
      <c r="O496" s="79" t="s">
        <v>1611</v>
      </c>
      <c r="P496" s="79" t="s">
        <v>1611</v>
      </c>
      <c r="Q496" s="79" t="s">
        <v>1610</v>
      </c>
      <c r="R496" s="79" t="s">
        <v>2834</v>
      </c>
      <c r="S496" s="79" t="s">
        <v>2840</v>
      </c>
      <c r="T496" s="79" t="s">
        <v>1612</v>
      </c>
      <c r="U496" s="79" t="s">
        <v>1613</v>
      </c>
      <c r="V496" s="79" t="s">
        <v>707</v>
      </c>
      <c r="W496" s="79" t="s">
        <v>1614</v>
      </c>
      <c r="Y496" s="79" t="s">
        <v>1610</v>
      </c>
    </row>
    <row r="497" spans="2:25" ht="12.75" customHeight="1" x14ac:dyDescent="0.2">
      <c r="B497" s="106" t="s">
        <v>1542</v>
      </c>
      <c r="C497" s="106" t="s">
        <v>1542</v>
      </c>
      <c r="D497" s="106" t="s">
        <v>1541</v>
      </c>
      <c r="E497" s="107" t="str">
        <f t="shared" si="15"/>
        <v>DERWENT, OH, 43733</v>
      </c>
      <c r="F497" s="106" t="s">
        <v>1541</v>
      </c>
      <c r="G497" s="106" t="s">
        <v>1543</v>
      </c>
      <c r="H497" s="106" t="s">
        <v>2786</v>
      </c>
      <c r="I497" s="106" t="s">
        <v>2795</v>
      </c>
      <c r="J497" s="106" t="s">
        <v>848</v>
      </c>
      <c r="K497" s="106" t="s">
        <v>707</v>
      </c>
      <c r="L497" s="106" t="s">
        <v>849</v>
      </c>
      <c r="N497" s="91">
        <f t="shared" si="16"/>
        <v>1</v>
      </c>
      <c r="O497" s="79" t="s">
        <v>1652</v>
      </c>
      <c r="P497" s="79" t="s">
        <v>1652</v>
      </c>
      <c r="Q497" s="79" t="s">
        <v>1651</v>
      </c>
      <c r="R497" s="79" t="s">
        <v>2834</v>
      </c>
      <c r="S497" s="79" t="s">
        <v>2852</v>
      </c>
      <c r="T497" s="79" t="s">
        <v>1653</v>
      </c>
      <c r="U497" s="79" t="s">
        <v>1654</v>
      </c>
      <c r="V497" s="79" t="s">
        <v>707</v>
      </c>
      <c r="W497" s="79" t="s">
        <v>1655</v>
      </c>
      <c r="Y497" s="79" t="s">
        <v>1651</v>
      </c>
    </row>
    <row r="498" spans="2:25" ht="12.75" customHeight="1" x14ac:dyDescent="0.2">
      <c r="B498" s="106" t="s">
        <v>854</v>
      </c>
      <c r="C498" s="106" t="s">
        <v>854</v>
      </c>
      <c r="D498" s="106" t="s">
        <v>853</v>
      </c>
      <c r="E498" s="107" t="str">
        <f t="shared" si="15"/>
        <v>FOREST, OH, 45843</v>
      </c>
      <c r="F498" s="106" t="s">
        <v>853</v>
      </c>
      <c r="G498" s="106" t="s">
        <v>855</v>
      </c>
      <c r="H498" s="106" t="s">
        <v>2804</v>
      </c>
      <c r="I498" s="106" t="s">
        <v>2851</v>
      </c>
      <c r="J498" s="106" t="s">
        <v>856</v>
      </c>
      <c r="K498" s="106" t="s">
        <v>707</v>
      </c>
      <c r="L498" s="106" t="s">
        <v>857</v>
      </c>
      <c r="N498" s="91">
        <f t="shared" si="16"/>
        <v>1</v>
      </c>
      <c r="O498" s="79" t="s">
        <v>2339</v>
      </c>
      <c r="P498" s="79" t="s">
        <v>2339</v>
      </c>
      <c r="Q498" s="79" t="s">
        <v>2338</v>
      </c>
      <c r="R498" s="79" t="s">
        <v>2782</v>
      </c>
      <c r="S498" s="79" t="s">
        <v>2825</v>
      </c>
      <c r="T498" s="79" t="s">
        <v>2340</v>
      </c>
      <c r="U498" s="79" t="s">
        <v>920</v>
      </c>
      <c r="V498" s="79" t="s">
        <v>707</v>
      </c>
      <c r="W498" s="79" t="s">
        <v>2341</v>
      </c>
      <c r="Y498" s="79" t="s">
        <v>2338</v>
      </c>
    </row>
    <row r="499" spans="2:25" ht="12.75" customHeight="1" x14ac:dyDescent="0.2">
      <c r="B499" s="106" t="s">
        <v>1662</v>
      </c>
      <c r="C499" s="106" t="s">
        <v>1662</v>
      </c>
      <c r="D499" s="106" t="s">
        <v>1661</v>
      </c>
      <c r="E499" s="107" t="str">
        <f t="shared" si="15"/>
        <v>LOCKBOURNE, OH, 43137</v>
      </c>
      <c r="F499" s="106" t="s">
        <v>1661</v>
      </c>
      <c r="G499" s="106" t="s">
        <v>3093</v>
      </c>
      <c r="H499" s="106" t="s">
        <v>2834</v>
      </c>
      <c r="I499" s="106" t="s">
        <v>2840</v>
      </c>
      <c r="J499" s="106" t="s">
        <v>1664</v>
      </c>
      <c r="K499" s="106" t="s">
        <v>707</v>
      </c>
      <c r="L499" s="106" t="s">
        <v>1665</v>
      </c>
      <c r="N499" s="91">
        <f t="shared" si="16"/>
        <v>1</v>
      </c>
      <c r="O499" s="79" t="s">
        <v>2343</v>
      </c>
      <c r="P499" s="79" t="s">
        <v>2343</v>
      </c>
      <c r="Q499" s="79" t="s">
        <v>2342</v>
      </c>
      <c r="R499" s="79" t="s">
        <v>2782</v>
      </c>
      <c r="S499" s="79" t="s">
        <v>2839</v>
      </c>
      <c r="T499" s="79" t="s">
        <v>1133</v>
      </c>
      <c r="U499" s="79" t="s">
        <v>1134</v>
      </c>
      <c r="V499" s="79" t="s">
        <v>707</v>
      </c>
      <c r="W499" s="79" t="s">
        <v>1984</v>
      </c>
      <c r="Y499" s="79" t="s">
        <v>2342</v>
      </c>
    </row>
    <row r="500" spans="2:25" ht="12.75" customHeight="1" x14ac:dyDescent="0.2">
      <c r="B500" s="106" t="s">
        <v>1611</v>
      </c>
      <c r="C500" s="106" t="s">
        <v>1611</v>
      </c>
      <c r="D500" s="106" t="s">
        <v>1610</v>
      </c>
      <c r="E500" s="107" t="str">
        <f t="shared" si="15"/>
        <v>HILLIARD, OH, 43026</v>
      </c>
      <c r="F500" s="106" t="s">
        <v>1610</v>
      </c>
      <c r="G500" s="106" t="s">
        <v>1612</v>
      </c>
      <c r="H500" s="106" t="s">
        <v>2834</v>
      </c>
      <c r="I500" s="106" t="s">
        <v>2840</v>
      </c>
      <c r="J500" s="106" t="s">
        <v>1613</v>
      </c>
      <c r="K500" s="106" t="s">
        <v>707</v>
      </c>
      <c r="L500" s="106" t="s">
        <v>1614</v>
      </c>
      <c r="N500" s="91">
        <f t="shared" si="16"/>
        <v>1</v>
      </c>
      <c r="O500" s="79" t="s">
        <v>2280</v>
      </c>
      <c r="P500" s="79" t="s">
        <v>2280</v>
      </c>
      <c r="Q500" s="79" t="s">
        <v>2279</v>
      </c>
      <c r="R500" s="79" t="s">
        <v>2782</v>
      </c>
      <c r="S500" s="79" t="s">
        <v>2825</v>
      </c>
      <c r="T500" s="79" t="s">
        <v>2281</v>
      </c>
      <c r="U500" s="79" t="s">
        <v>2282</v>
      </c>
      <c r="V500" s="79" t="s">
        <v>707</v>
      </c>
      <c r="W500" s="79" t="s">
        <v>2283</v>
      </c>
      <c r="Y500" s="79" t="s">
        <v>2279</v>
      </c>
    </row>
    <row r="501" spans="2:25" ht="12.75" customHeight="1" x14ac:dyDescent="0.2">
      <c r="B501" s="106" t="s">
        <v>1652</v>
      </c>
      <c r="C501" s="106" t="s">
        <v>1652</v>
      </c>
      <c r="D501" s="106" t="s">
        <v>1651</v>
      </c>
      <c r="E501" s="107" t="str">
        <f t="shared" si="15"/>
        <v>OSTRANDER, OH, 43061</v>
      </c>
      <c r="F501" s="106" t="s">
        <v>1651</v>
      </c>
      <c r="G501" s="106" t="s">
        <v>1653</v>
      </c>
      <c r="H501" s="106" t="s">
        <v>2834</v>
      </c>
      <c r="I501" s="106" t="s">
        <v>2852</v>
      </c>
      <c r="J501" s="106" t="s">
        <v>1654</v>
      </c>
      <c r="K501" s="106" t="s">
        <v>707</v>
      </c>
      <c r="L501" s="106" t="s">
        <v>1655</v>
      </c>
      <c r="N501" s="91">
        <f t="shared" si="16"/>
        <v>1</v>
      </c>
      <c r="O501" s="79" t="s">
        <v>2295</v>
      </c>
      <c r="P501" s="79" t="s">
        <v>2295</v>
      </c>
      <c r="Q501" s="79" t="s">
        <v>2294</v>
      </c>
      <c r="R501" s="79" t="s">
        <v>2782</v>
      </c>
      <c r="S501" s="79" t="s">
        <v>2784</v>
      </c>
      <c r="T501" s="79" t="s">
        <v>2296</v>
      </c>
      <c r="U501" s="79" t="s">
        <v>1979</v>
      </c>
      <c r="V501" s="79" t="s">
        <v>707</v>
      </c>
      <c r="W501" s="79" t="s">
        <v>1980</v>
      </c>
      <c r="Y501" s="79" t="s">
        <v>2294</v>
      </c>
    </row>
    <row r="502" spans="2:25" ht="12.75" customHeight="1" x14ac:dyDescent="0.2">
      <c r="B502" s="106" t="s">
        <v>2339</v>
      </c>
      <c r="C502" s="106" t="s">
        <v>2339</v>
      </c>
      <c r="D502" s="106" t="s">
        <v>2338</v>
      </c>
      <c r="E502" s="107" t="str">
        <f t="shared" si="15"/>
        <v>PORTLAND, OH, 45770</v>
      </c>
      <c r="F502" s="106" t="s">
        <v>2338</v>
      </c>
      <c r="G502" s="106" t="s">
        <v>2340</v>
      </c>
      <c r="H502" s="106" t="s">
        <v>2782</v>
      </c>
      <c r="I502" s="106" t="s">
        <v>2825</v>
      </c>
      <c r="J502" s="106" t="s">
        <v>920</v>
      </c>
      <c r="K502" s="106" t="s">
        <v>707</v>
      </c>
      <c r="L502" s="106" t="s">
        <v>2341</v>
      </c>
      <c r="N502" s="91">
        <f t="shared" si="16"/>
        <v>2</v>
      </c>
      <c r="O502" s="79" t="s">
        <v>2295</v>
      </c>
      <c r="P502" s="79" t="s">
        <v>2295</v>
      </c>
      <c r="Q502" s="79" t="s">
        <v>2736</v>
      </c>
      <c r="R502" s="79" t="s">
        <v>2782</v>
      </c>
      <c r="S502" s="79" t="s">
        <v>2784</v>
      </c>
      <c r="T502" s="79" t="s">
        <v>2296</v>
      </c>
      <c r="U502" s="79" t="s">
        <v>1979</v>
      </c>
      <c r="V502" s="79" t="s">
        <v>707</v>
      </c>
      <c r="W502" s="79" t="s">
        <v>2341</v>
      </c>
      <c r="Y502" s="79" t="s">
        <v>2736</v>
      </c>
    </row>
    <row r="503" spans="2:25" ht="12.75" customHeight="1" x14ac:dyDescent="0.2">
      <c r="B503" s="106" t="s">
        <v>2343</v>
      </c>
      <c r="C503" s="106" t="s">
        <v>2343</v>
      </c>
      <c r="D503" s="106" t="s">
        <v>2342</v>
      </c>
      <c r="E503" s="107" t="str">
        <f t="shared" si="15"/>
        <v>GALLIPOLIS, OH, 45631</v>
      </c>
      <c r="F503" s="106" t="s">
        <v>2342</v>
      </c>
      <c r="G503" s="106" t="s">
        <v>1133</v>
      </c>
      <c r="H503" s="106" t="s">
        <v>2782</v>
      </c>
      <c r="I503" s="106" t="s">
        <v>2839</v>
      </c>
      <c r="J503" s="106" t="s">
        <v>1134</v>
      </c>
      <c r="K503" s="106" t="s">
        <v>707</v>
      </c>
      <c r="L503" s="106" t="s">
        <v>1135</v>
      </c>
      <c r="N503" s="91">
        <f t="shared" si="16"/>
        <v>1</v>
      </c>
      <c r="O503" s="79" t="s">
        <v>2298</v>
      </c>
      <c r="P503" s="79" t="s">
        <v>2298</v>
      </c>
      <c r="Q503" s="79" t="s">
        <v>2297</v>
      </c>
      <c r="R503" s="79" t="s">
        <v>2782</v>
      </c>
      <c r="S503" s="79" t="s">
        <v>2784</v>
      </c>
      <c r="T503" s="79" t="s">
        <v>1992</v>
      </c>
      <c r="U503" s="79" t="s">
        <v>1979</v>
      </c>
      <c r="V503" s="79" t="s">
        <v>707</v>
      </c>
      <c r="W503" s="79" t="s">
        <v>813</v>
      </c>
      <c r="Y503" s="79" t="s">
        <v>2297</v>
      </c>
    </row>
    <row r="504" spans="2:25" ht="12.75" customHeight="1" x14ac:dyDescent="0.2">
      <c r="B504" s="106" t="s">
        <v>2280</v>
      </c>
      <c r="C504" s="106" t="s">
        <v>2280</v>
      </c>
      <c r="D504" s="106" t="s">
        <v>2279</v>
      </c>
      <c r="E504" s="107" t="str">
        <f t="shared" si="15"/>
        <v>REEDSVILLE, OH, 45772</v>
      </c>
      <c r="F504" s="106" t="s">
        <v>2279</v>
      </c>
      <c r="G504" s="106" t="s">
        <v>2281</v>
      </c>
      <c r="H504" s="106" t="s">
        <v>2782</v>
      </c>
      <c r="I504" s="106" t="s">
        <v>2825</v>
      </c>
      <c r="J504" s="106" t="s">
        <v>2282</v>
      </c>
      <c r="K504" s="106" t="s">
        <v>707</v>
      </c>
      <c r="L504" s="106" t="s">
        <v>2283</v>
      </c>
      <c r="N504" s="91">
        <f t="shared" si="16"/>
        <v>1</v>
      </c>
      <c r="O504" s="79" t="s">
        <v>1470</v>
      </c>
      <c r="P504" s="79" t="s">
        <v>1470</v>
      </c>
      <c r="Q504" s="79" t="s">
        <v>1469</v>
      </c>
      <c r="R504" s="79" t="s">
        <v>2767</v>
      </c>
      <c r="S504" s="79" t="s">
        <v>2768</v>
      </c>
      <c r="T504" s="79" t="s">
        <v>839</v>
      </c>
      <c r="U504" s="79" t="s">
        <v>835</v>
      </c>
      <c r="V504" s="79" t="s">
        <v>707</v>
      </c>
      <c r="W504" s="79" t="s">
        <v>836</v>
      </c>
      <c r="Y504" s="79" t="s">
        <v>1469</v>
      </c>
    </row>
    <row r="505" spans="2:25" ht="12.75" customHeight="1" x14ac:dyDescent="0.2">
      <c r="B505" s="106" t="s">
        <v>3122</v>
      </c>
      <c r="C505" s="106" t="s">
        <v>3122</v>
      </c>
      <c r="D505" s="106" t="s">
        <v>3123</v>
      </c>
      <c r="E505" s="107" t="str">
        <f t="shared" si="15"/>
        <v>CORAOPOLIS, PA, 15108</v>
      </c>
      <c r="F505" s="106" t="s">
        <v>3123</v>
      </c>
      <c r="G505" s="106" t="s">
        <v>3124</v>
      </c>
      <c r="H505" s="106" t="s">
        <v>2791</v>
      </c>
      <c r="I505" s="106" t="s">
        <v>2764</v>
      </c>
      <c r="J505" s="106" t="s">
        <v>2421</v>
      </c>
      <c r="K505" s="106" t="s">
        <v>898</v>
      </c>
      <c r="L505" s="106" t="s">
        <v>2422</v>
      </c>
      <c r="N505" s="91">
        <f t="shared" si="16"/>
        <v>1</v>
      </c>
      <c r="O505" s="79" t="s">
        <v>1468</v>
      </c>
      <c r="P505" s="79" t="s">
        <v>1468</v>
      </c>
      <c r="Q505" s="79" t="s">
        <v>1467</v>
      </c>
      <c r="R505" s="79" t="s">
        <v>2759</v>
      </c>
      <c r="S505" s="79" t="s">
        <v>2760</v>
      </c>
      <c r="T505" s="79" t="s">
        <v>954</v>
      </c>
      <c r="U505" s="79" t="s">
        <v>843</v>
      </c>
      <c r="V505" s="79" t="s">
        <v>707</v>
      </c>
      <c r="W505" s="79" t="s">
        <v>955</v>
      </c>
      <c r="Y505" s="79" t="s">
        <v>1467</v>
      </c>
    </row>
    <row r="506" spans="2:25" ht="12.75" customHeight="1" x14ac:dyDescent="0.2">
      <c r="B506" s="106" t="s">
        <v>2295</v>
      </c>
      <c r="C506" s="106" t="s">
        <v>2295</v>
      </c>
      <c r="D506" s="106" t="s">
        <v>2294</v>
      </c>
      <c r="E506" s="107" t="str">
        <f t="shared" si="15"/>
        <v>MARIETTA, OH, 45750</v>
      </c>
      <c r="F506" s="106" t="s">
        <v>2294</v>
      </c>
      <c r="G506" s="106" t="s">
        <v>2296</v>
      </c>
      <c r="H506" s="106" t="s">
        <v>2782</v>
      </c>
      <c r="I506" s="106" t="s">
        <v>2784</v>
      </c>
      <c r="J506" s="106" t="s">
        <v>1979</v>
      </c>
      <c r="K506" s="106" t="s">
        <v>707</v>
      </c>
      <c r="L506" s="106" t="s">
        <v>1980</v>
      </c>
      <c r="N506" s="91">
        <f t="shared" si="16"/>
        <v>1</v>
      </c>
      <c r="O506" s="79" t="s">
        <v>1472</v>
      </c>
      <c r="P506" s="79" t="s">
        <v>1472</v>
      </c>
      <c r="Q506" s="79" t="s">
        <v>1471</v>
      </c>
      <c r="R506" s="79" t="s">
        <v>2759</v>
      </c>
      <c r="S506" s="79" t="s">
        <v>2760</v>
      </c>
      <c r="T506" s="79" t="s">
        <v>842</v>
      </c>
      <c r="U506" s="79" t="s">
        <v>843</v>
      </c>
      <c r="V506" s="79" t="s">
        <v>707</v>
      </c>
      <c r="W506" s="79" t="s">
        <v>844</v>
      </c>
      <c r="Y506" s="79" t="s">
        <v>1471</v>
      </c>
    </row>
    <row r="507" spans="2:25" ht="12.75" customHeight="1" x14ac:dyDescent="0.2">
      <c r="B507" s="143" t="s">
        <v>2295</v>
      </c>
      <c r="C507" s="143" t="s">
        <v>2295</v>
      </c>
      <c r="D507" s="143" t="s">
        <v>2736</v>
      </c>
      <c r="E507" s="107" t="str">
        <f t="shared" si="15"/>
        <v>MARIETTA, OH, 45770</v>
      </c>
      <c r="F507" s="143" t="s">
        <v>2736</v>
      </c>
      <c r="G507" s="143" t="s">
        <v>2296</v>
      </c>
      <c r="H507" s="143" t="s">
        <v>2782</v>
      </c>
      <c r="I507" s="143" t="s">
        <v>2784</v>
      </c>
      <c r="J507" s="143" t="s">
        <v>1979</v>
      </c>
      <c r="K507" s="143" t="s">
        <v>707</v>
      </c>
      <c r="L507" s="143" t="s">
        <v>2341</v>
      </c>
      <c r="N507" s="91">
        <f t="shared" si="16"/>
        <v>1</v>
      </c>
      <c r="O507" s="79" t="s">
        <v>1791</v>
      </c>
      <c r="P507" s="79" t="s">
        <v>1791</v>
      </c>
      <c r="Q507" s="79" t="s">
        <v>1790</v>
      </c>
      <c r="R507" s="79" t="s">
        <v>2775</v>
      </c>
      <c r="S507" s="79" t="s">
        <v>2833</v>
      </c>
      <c r="T507" s="79" t="s">
        <v>1792</v>
      </c>
      <c r="U507" s="79" t="s">
        <v>1793</v>
      </c>
      <c r="V507" s="79" t="s">
        <v>707</v>
      </c>
      <c r="W507" s="79" t="s">
        <v>1716</v>
      </c>
      <c r="Y507" s="79" t="s">
        <v>1790</v>
      </c>
    </row>
    <row r="508" spans="2:25" ht="12.75" customHeight="1" x14ac:dyDescent="0.2">
      <c r="B508" s="106" t="s">
        <v>2298</v>
      </c>
      <c r="C508" s="106" t="s">
        <v>2298</v>
      </c>
      <c r="D508" s="106" t="s">
        <v>2297</v>
      </c>
      <c r="E508" s="107" t="str">
        <f t="shared" si="15"/>
        <v xml:space="preserve">MARIETTA, OH, </v>
      </c>
      <c r="F508" s="106" t="s">
        <v>2297</v>
      </c>
      <c r="G508" s="106" t="s">
        <v>1992</v>
      </c>
      <c r="H508" s="106" t="s">
        <v>2782</v>
      </c>
      <c r="I508" s="106" t="s">
        <v>2784</v>
      </c>
      <c r="J508" s="106" t="s">
        <v>1979</v>
      </c>
      <c r="K508" s="106" t="s">
        <v>707</v>
      </c>
      <c r="L508" s="106" t="s">
        <v>813</v>
      </c>
      <c r="N508" s="91">
        <f t="shared" si="16"/>
        <v>1</v>
      </c>
      <c r="O508" s="79" t="s">
        <v>1523</v>
      </c>
      <c r="P508" s="79" t="s">
        <v>1523</v>
      </c>
      <c r="Q508" s="79" t="s">
        <v>1522</v>
      </c>
      <c r="R508" s="79" t="s">
        <v>2786</v>
      </c>
      <c r="S508" s="79" t="s">
        <v>2787</v>
      </c>
      <c r="T508" s="79" t="s">
        <v>1524</v>
      </c>
      <c r="U508" s="79" t="s">
        <v>1525</v>
      </c>
      <c r="V508" s="79" t="s">
        <v>707</v>
      </c>
      <c r="W508" s="79" t="s">
        <v>1526</v>
      </c>
      <c r="Y508" s="79" t="s">
        <v>1522</v>
      </c>
    </row>
    <row r="509" spans="2:25" ht="12.75" customHeight="1" x14ac:dyDescent="0.2">
      <c r="B509" s="106" t="s">
        <v>1470</v>
      </c>
      <c r="C509" s="106" t="s">
        <v>1470</v>
      </c>
      <c r="D509" s="106" t="s">
        <v>1469</v>
      </c>
      <c r="E509" s="107" t="str">
        <f t="shared" si="15"/>
        <v>MEDINA, OH, 44256</v>
      </c>
      <c r="F509" s="106" t="s">
        <v>1469</v>
      </c>
      <c r="G509" s="106" t="s">
        <v>839</v>
      </c>
      <c r="H509" s="106" t="s">
        <v>2767</v>
      </c>
      <c r="I509" s="106" t="s">
        <v>2768</v>
      </c>
      <c r="J509" s="106" t="s">
        <v>835</v>
      </c>
      <c r="K509" s="106" t="s">
        <v>707</v>
      </c>
      <c r="L509" s="106" t="s">
        <v>836</v>
      </c>
      <c r="N509" s="91">
        <f t="shared" si="16"/>
        <v>1</v>
      </c>
      <c r="O509" s="79" t="s">
        <v>1309</v>
      </c>
      <c r="P509" s="79" t="s">
        <v>1309</v>
      </c>
      <c r="Q509" s="79" t="s">
        <v>1308</v>
      </c>
      <c r="R509" s="79" t="s">
        <v>2762</v>
      </c>
      <c r="S509" s="79" t="s">
        <v>2774</v>
      </c>
      <c r="T509" s="79" t="s">
        <v>1310</v>
      </c>
      <c r="U509" s="79" t="s">
        <v>1311</v>
      </c>
      <c r="V509" s="79" t="s">
        <v>707</v>
      </c>
      <c r="W509" s="79" t="s">
        <v>1312</v>
      </c>
      <c r="Y509" s="79" t="s">
        <v>1308</v>
      </c>
    </row>
    <row r="510" spans="2:25" ht="12.75" customHeight="1" x14ac:dyDescent="0.2">
      <c r="B510" s="106" t="s">
        <v>1468</v>
      </c>
      <c r="C510" s="106" t="s">
        <v>1468</v>
      </c>
      <c r="D510" s="106" t="s">
        <v>1467</v>
      </c>
      <c r="E510" s="107" t="str">
        <f t="shared" si="15"/>
        <v>CLEVELAND, OH, 44113</v>
      </c>
      <c r="F510" s="106" t="s">
        <v>1467</v>
      </c>
      <c r="G510" s="106" t="s">
        <v>954</v>
      </c>
      <c r="H510" s="106" t="s">
        <v>2759</v>
      </c>
      <c r="I510" s="106" t="s">
        <v>2760</v>
      </c>
      <c r="J510" s="106" t="s">
        <v>843</v>
      </c>
      <c r="K510" s="106" t="s">
        <v>707</v>
      </c>
      <c r="L510" s="106" t="s">
        <v>955</v>
      </c>
      <c r="N510" s="91">
        <f t="shared" si="16"/>
        <v>1</v>
      </c>
      <c r="O510" s="79" t="s">
        <v>2300</v>
      </c>
      <c r="P510" s="79" t="s">
        <v>2300</v>
      </c>
      <c r="Q510" s="79" t="s">
        <v>2299</v>
      </c>
      <c r="R510" s="79" t="s">
        <v>2786</v>
      </c>
      <c r="S510" s="79" t="s">
        <v>2795</v>
      </c>
      <c r="T510" s="79" t="s">
        <v>1543</v>
      </c>
      <c r="U510" s="79" t="s">
        <v>848</v>
      </c>
      <c r="V510" s="79" t="s">
        <v>707</v>
      </c>
      <c r="W510" s="79" t="s">
        <v>849</v>
      </c>
      <c r="Y510" s="79" t="s">
        <v>2299</v>
      </c>
    </row>
    <row r="511" spans="2:25" ht="12.75" customHeight="1" x14ac:dyDescent="0.2">
      <c r="B511" s="106" t="s">
        <v>1472</v>
      </c>
      <c r="C511" s="106" t="s">
        <v>1472</v>
      </c>
      <c r="D511" s="106" t="s">
        <v>1471</v>
      </c>
      <c r="E511" s="107" t="str">
        <f t="shared" si="15"/>
        <v>CLEVELAND, OH, 44135</v>
      </c>
      <c r="F511" s="106" t="s">
        <v>1471</v>
      </c>
      <c r="G511" s="106" t="s">
        <v>842</v>
      </c>
      <c r="H511" s="106" t="s">
        <v>2759</v>
      </c>
      <c r="I511" s="106" t="s">
        <v>2760</v>
      </c>
      <c r="J511" s="106" t="s">
        <v>843</v>
      </c>
      <c r="K511" s="106" t="s">
        <v>707</v>
      </c>
      <c r="L511" s="106" t="s">
        <v>844</v>
      </c>
      <c r="N511" s="91">
        <f t="shared" si="16"/>
        <v>1</v>
      </c>
      <c r="O511" s="79" t="s">
        <v>1642</v>
      </c>
      <c r="P511" s="79" t="s">
        <v>1642</v>
      </c>
      <c r="Q511" s="79" t="s">
        <v>1641</v>
      </c>
      <c r="R511" s="79" t="s">
        <v>2834</v>
      </c>
      <c r="S511" s="79" t="s">
        <v>2852</v>
      </c>
      <c r="T511" s="79" t="s">
        <v>1643</v>
      </c>
      <c r="U511" s="79" t="s">
        <v>1644</v>
      </c>
      <c r="V511" s="79" t="s">
        <v>707</v>
      </c>
      <c r="W511" s="79" t="s">
        <v>1645</v>
      </c>
      <c r="Y511" s="79" t="s">
        <v>1641</v>
      </c>
    </row>
    <row r="512" spans="2:25" ht="12.75" customHeight="1" x14ac:dyDescent="0.2">
      <c r="B512" s="106" t="s">
        <v>1791</v>
      </c>
      <c r="C512" s="106" t="s">
        <v>1791</v>
      </c>
      <c r="D512" s="106" t="s">
        <v>1790</v>
      </c>
      <c r="E512" s="107" t="str">
        <f t="shared" si="15"/>
        <v>SPRINGFIELD, OH, 45502</v>
      </c>
      <c r="F512" s="106" t="s">
        <v>1790</v>
      </c>
      <c r="G512" s="106" t="s">
        <v>1792</v>
      </c>
      <c r="H512" s="106" t="s">
        <v>2775</v>
      </c>
      <c r="I512" s="106" t="s">
        <v>2833</v>
      </c>
      <c r="J512" s="106" t="s">
        <v>1793</v>
      </c>
      <c r="K512" s="106" t="s">
        <v>707</v>
      </c>
      <c r="L512" s="106" t="s">
        <v>1716</v>
      </c>
      <c r="N512" s="91">
        <f t="shared" si="16"/>
        <v>1</v>
      </c>
      <c r="O512" s="79" t="s">
        <v>2400</v>
      </c>
      <c r="P512" s="79" t="s">
        <v>2400</v>
      </c>
      <c r="Q512" s="79" t="s">
        <v>2399</v>
      </c>
      <c r="R512" s="79" t="s">
        <v>2791</v>
      </c>
      <c r="S512" s="79" t="s">
        <v>2824</v>
      </c>
      <c r="T512" s="79" t="s">
        <v>2401</v>
      </c>
      <c r="U512" s="79" t="s">
        <v>2402</v>
      </c>
      <c r="V512" s="79" t="s">
        <v>707</v>
      </c>
      <c r="W512" s="79" t="s">
        <v>2403</v>
      </c>
      <c r="Y512" s="79" t="s">
        <v>2399</v>
      </c>
    </row>
    <row r="513" spans="2:25" ht="12.75" customHeight="1" x14ac:dyDescent="0.2">
      <c r="B513" s="106" t="s">
        <v>1523</v>
      </c>
      <c r="C513" s="106" t="s">
        <v>1523</v>
      </c>
      <c r="D513" s="106" t="s">
        <v>1522</v>
      </c>
      <c r="E513" s="107" t="str">
        <f t="shared" si="15"/>
        <v>ST. LOUISVILLE, OH, 43055</v>
      </c>
      <c r="F513" s="106" t="s">
        <v>1522</v>
      </c>
      <c r="G513" s="106" t="s">
        <v>1524</v>
      </c>
      <c r="H513" s="106" t="s">
        <v>2786</v>
      </c>
      <c r="I513" s="106" t="s">
        <v>2787</v>
      </c>
      <c r="J513" s="106" t="s">
        <v>1525</v>
      </c>
      <c r="K513" s="106" t="s">
        <v>707</v>
      </c>
      <c r="L513" s="106" t="s">
        <v>1526</v>
      </c>
      <c r="N513" s="91">
        <f t="shared" si="16"/>
        <v>1</v>
      </c>
      <c r="O513" s="79" t="s">
        <v>2462</v>
      </c>
      <c r="P513" s="79" t="s">
        <v>2462</v>
      </c>
      <c r="Q513" s="79" t="s">
        <v>2461</v>
      </c>
      <c r="R513" s="79" t="s">
        <v>2791</v>
      </c>
      <c r="S513" s="79" t="s">
        <v>2809</v>
      </c>
      <c r="T513" s="79" t="s">
        <v>2463</v>
      </c>
      <c r="U513" s="79" t="s">
        <v>2431</v>
      </c>
      <c r="V513" s="79" t="s">
        <v>707</v>
      </c>
      <c r="W513" s="79" t="s">
        <v>2432</v>
      </c>
      <c r="Y513" s="79" t="s">
        <v>2461</v>
      </c>
    </row>
    <row r="514" spans="2:25" ht="12.75" customHeight="1" x14ac:dyDescent="0.2">
      <c r="B514" s="106" t="s">
        <v>1309</v>
      </c>
      <c r="C514" s="106" t="s">
        <v>1309</v>
      </c>
      <c r="D514" s="106" t="s">
        <v>1308</v>
      </c>
      <c r="E514" s="107" t="str">
        <f t="shared" ref="E514:E577" si="17">CONCATENATE(J514,", ",K514,", ",L514)</f>
        <v>STREETSBORO, OH, 44241</v>
      </c>
      <c r="F514" s="106" t="s">
        <v>1308</v>
      </c>
      <c r="G514" s="106" t="s">
        <v>1310</v>
      </c>
      <c r="H514" s="106" t="s">
        <v>2762</v>
      </c>
      <c r="I514" s="106" t="s">
        <v>2774</v>
      </c>
      <c r="J514" s="106" t="s">
        <v>1311</v>
      </c>
      <c r="K514" s="106" t="s">
        <v>707</v>
      </c>
      <c r="L514" s="106" t="s">
        <v>1312</v>
      </c>
      <c r="N514" s="91">
        <f t="shared" si="16"/>
        <v>1</v>
      </c>
      <c r="O514" s="79" t="s">
        <v>2379</v>
      </c>
      <c r="P514" s="79" t="s">
        <v>2379</v>
      </c>
      <c r="Q514" s="79" t="s">
        <v>2378</v>
      </c>
      <c r="R514" s="79" t="s">
        <v>2791</v>
      </c>
      <c r="S514" s="79" t="s">
        <v>2812</v>
      </c>
      <c r="T514" s="79" t="s">
        <v>2380</v>
      </c>
      <c r="U514" s="79" t="s">
        <v>738</v>
      </c>
      <c r="V514" s="79" t="s">
        <v>707</v>
      </c>
      <c r="W514" s="79" t="s">
        <v>739</v>
      </c>
      <c r="Y514" s="79" t="s">
        <v>2378</v>
      </c>
    </row>
    <row r="515" spans="2:25" ht="12.75" customHeight="1" x14ac:dyDescent="0.2">
      <c r="B515" s="106" t="s">
        <v>2300</v>
      </c>
      <c r="C515" s="106" t="s">
        <v>2300</v>
      </c>
      <c r="D515" s="106" t="s">
        <v>2299</v>
      </c>
      <c r="E515" s="107" t="str">
        <f t="shared" si="17"/>
        <v>DERWENT, OH, 43733</v>
      </c>
      <c r="F515" s="106" t="s">
        <v>2299</v>
      </c>
      <c r="G515" s="106" t="s">
        <v>1543</v>
      </c>
      <c r="H515" s="106" t="s">
        <v>2786</v>
      </c>
      <c r="I515" s="106" t="s">
        <v>2795</v>
      </c>
      <c r="J515" s="106" t="s">
        <v>848</v>
      </c>
      <c r="K515" s="106" t="s">
        <v>707</v>
      </c>
      <c r="L515" s="106" t="s">
        <v>849</v>
      </c>
      <c r="N515" s="91">
        <f t="shared" si="16"/>
        <v>1</v>
      </c>
      <c r="O515" s="79" t="s">
        <v>2443</v>
      </c>
      <c r="P515" s="79" t="s">
        <v>2443</v>
      </c>
      <c r="Q515" s="79" t="s">
        <v>2442</v>
      </c>
      <c r="R515" s="79" t="s">
        <v>2791</v>
      </c>
      <c r="S515" s="79" t="s">
        <v>2824</v>
      </c>
      <c r="T515" s="79" t="s">
        <v>2444</v>
      </c>
      <c r="U515" s="79" t="s">
        <v>753</v>
      </c>
      <c r="V515" s="79" t="s">
        <v>707</v>
      </c>
      <c r="W515" s="79" t="s">
        <v>754</v>
      </c>
      <c r="Y515" s="79" t="s">
        <v>2442</v>
      </c>
    </row>
    <row r="516" spans="2:25" ht="12.75" customHeight="1" x14ac:dyDescent="0.2">
      <c r="B516" s="106" t="s">
        <v>1642</v>
      </c>
      <c r="C516" s="106" t="s">
        <v>1642</v>
      </c>
      <c r="D516" s="106" t="s">
        <v>1641</v>
      </c>
      <c r="E516" s="107" t="str">
        <f t="shared" si="17"/>
        <v>WEST MANSFIELD, OH, 43358</v>
      </c>
      <c r="F516" s="106" t="s">
        <v>1641</v>
      </c>
      <c r="G516" s="106" t="s">
        <v>1643</v>
      </c>
      <c r="H516" s="106" t="s">
        <v>2834</v>
      </c>
      <c r="I516" s="106" t="s">
        <v>2852</v>
      </c>
      <c r="J516" s="106" t="s">
        <v>1644</v>
      </c>
      <c r="K516" s="106" t="s">
        <v>707</v>
      </c>
      <c r="L516" s="106" t="s">
        <v>1645</v>
      </c>
      <c r="N516" s="91">
        <f t="shared" si="16"/>
        <v>1</v>
      </c>
      <c r="O516" s="79" t="s">
        <v>2429</v>
      </c>
      <c r="P516" s="79" t="s">
        <v>2429</v>
      </c>
      <c r="Q516" s="79" t="s">
        <v>2428</v>
      </c>
      <c r="R516" s="79" t="s">
        <v>2791</v>
      </c>
      <c r="S516" s="79" t="s">
        <v>2809</v>
      </c>
      <c r="T516" s="79" t="s">
        <v>2430</v>
      </c>
      <c r="U516" s="79" t="s">
        <v>2431</v>
      </c>
      <c r="V516" s="79" t="s">
        <v>707</v>
      </c>
      <c r="W516" s="79" t="s">
        <v>2432</v>
      </c>
      <c r="Y516" s="79" t="s">
        <v>2428</v>
      </c>
    </row>
    <row r="517" spans="2:25" ht="12.75" customHeight="1" x14ac:dyDescent="0.2">
      <c r="B517" s="106" t="s">
        <v>2462</v>
      </c>
      <c r="C517" s="106" t="s">
        <v>2462</v>
      </c>
      <c r="D517" s="106" t="s">
        <v>2461</v>
      </c>
      <c r="E517" s="107" t="str">
        <f t="shared" si="17"/>
        <v>ST. CLAIRSVILLE, OH, 43950</v>
      </c>
      <c r="F517" s="106" t="s">
        <v>2461</v>
      </c>
      <c r="G517" s="106" t="s">
        <v>2463</v>
      </c>
      <c r="H517" s="106" t="s">
        <v>2791</v>
      </c>
      <c r="I517" s="106" t="s">
        <v>2809</v>
      </c>
      <c r="J517" s="106" t="s">
        <v>2431</v>
      </c>
      <c r="K517" s="106" t="s">
        <v>707</v>
      </c>
      <c r="L517" s="106" t="s">
        <v>2432</v>
      </c>
      <c r="N517" s="91">
        <f t="shared" si="16"/>
        <v>1</v>
      </c>
      <c r="O517" s="79" t="s">
        <v>2382</v>
      </c>
      <c r="P517" s="79" t="s">
        <v>2382</v>
      </c>
      <c r="Q517" s="79" t="s">
        <v>2381</v>
      </c>
      <c r="R517" s="79" t="s">
        <v>2791</v>
      </c>
      <c r="S517" s="79" t="s">
        <v>2809</v>
      </c>
      <c r="T517" s="79" t="s">
        <v>1995</v>
      </c>
      <c r="U517" s="79" t="s">
        <v>1996</v>
      </c>
      <c r="V517" s="79" t="s">
        <v>707</v>
      </c>
      <c r="W517" s="79" t="s">
        <v>1997</v>
      </c>
      <c r="Y517" s="79" t="s">
        <v>2381</v>
      </c>
    </row>
    <row r="518" spans="2:25" ht="12.75" customHeight="1" x14ac:dyDescent="0.2">
      <c r="B518" s="106" t="s">
        <v>2379</v>
      </c>
      <c r="C518" s="106" t="s">
        <v>2379</v>
      </c>
      <c r="D518" s="106" t="s">
        <v>2378</v>
      </c>
      <c r="E518" s="107" t="str">
        <f t="shared" si="17"/>
        <v>NEW PHILADELPHIA, OH, 44663</v>
      </c>
      <c r="F518" s="106" t="s">
        <v>2378</v>
      </c>
      <c r="G518" s="106" t="s">
        <v>2380</v>
      </c>
      <c r="H518" s="106" t="s">
        <v>2791</v>
      </c>
      <c r="I518" s="106" t="s">
        <v>2812</v>
      </c>
      <c r="J518" s="106" t="s">
        <v>738</v>
      </c>
      <c r="K518" s="106" t="s">
        <v>707</v>
      </c>
      <c r="L518" s="106" t="s">
        <v>739</v>
      </c>
      <c r="N518" s="91">
        <f t="shared" si="16"/>
        <v>2</v>
      </c>
      <c r="O518" s="79" t="s">
        <v>2382</v>
      </c>
      <c r="P518" s="79" t="s">
        <v>2382</v>
      </c>
      <c r="Q518" s="79" t="s">
        <v>2381</v>
      </c>
      <c r="R518" s="79" t="s">
        <v>2791</v>
      </c>
      <c r="S518" s="79" t="s">
        <v>2809</v>
      </c>
      <c r="T518" s="79" t="s">
        <v>1995</v>
      </c>
      <c r="U518" s="79" t="s">
        <v>1996</v>
      </c>
      <c r="V518" s="79" t="s">
        <v>707</v>
      </c>
      <c r="W518" s="79" t="s">
        <v>1997</v>
      </c>
      <c r="Y518" s="79" t="s">
        <v>2381</v>
      </c>
    </row>
    <row r="519" spans="2:25" ht="12.75" customHeight="1" x14ac:dyDescent="0.2">
      <c r="B519" s="106" t="s">
        <v>2443</v>
      </c>
      <c r="C519" s="106" t="s">
        <v>2443</v>
      </c>
      <c r="D519" s="106" t="s">
        <v>2442</v>
      </c>
      <c r="E519" s="107" t="str">
        <f t="shared" si="17"/>
        <v>CADIZ, OH, 43907</v>
      </c>
      <c r="F519" s="106" t="s">
        <v>2442</v>
      </c>
      <c r="G519" s="106" t="s">
        <v>3138</v>
      </c>
      <c r="H519" s="106" t="s">
        <v>2791</v>
      </c>
      <c r="I519" s="106" t="s">
        <v>2824</v>
      </c>
      <c r="J519" s="106" t="s">
        <v>753</v>
      </c>
      <c r="K519" s="106" t="s">
        <v>707</v>
      </c>
      <c r="L519" s="106" t="s">
        <v>754</v>
      </c>
      <c r="N519" s="91">
        <f t="shared" si="16"/>
        <v>1</v>
      </c>
      <c r="O519" s="79" t="s">
        <v>1448</v>
      </c>
      <c r="P519" s="79" t="s">
        <v>1448</v>
      </c>
      <c r="Q519" s="79" t="s">
        <v>1447</v>
      </c>
      <c r="R519" s="79" t="s">
        <v>2762</v>
      </c>
      <c r="S519" s="79" t="s">
        <v>2790</v>
      </c>
      <c r="T519" s="79" t="s">
        <v>1449</v>
      </c>
      <c r="U519" s="79" t="s">
        <v>1450</v>
      </c>
      <c r="V519" s="79" t="s">
        <v>707</v>
      </c>
      <c r="W519" s="79" t="s">
        <v>1358</v>
      </c>
      <c r="Y519" s="79" t="s">
        <v>1447</v>
      </c>
    </row>
    <row r="520" spans="2:25" ht="12.75" customHeight="1" x14ac:dyDescent="0.2">
      <c r="B520" s="106" t="s">
        <v>2429</v>
      </c>
      <c r="C520" s="106" t="s">
        <v>2429</v>
      </c>
      <c r="D520" s="106" t="s">
        <v>2428</v>
      </c>
      <c r="E520" s="107" t="str">
        <f t="shared" si="17"/>
        <v>ST. CLAIRSVILLE, OH, 43950</v>
      </c>
      <c r="F520" s="106" t="s">
        <v>2428</v>
      </c>
      <c r="G520" s="106" t="s">
        <v>2430</v>
      </c>
      <c r="H520" s="106" t="s">
        <v>2791</v>
      </c>
      <c r="I520" s="106" t="s">
        <v>2809</v>
      </c>
      <c r="J520" s="106" t="s">
        <v>2431</v>
      </c>
      <c r="K520" s="106" t="s">
        <v>707</v>
      </c>
      <c r="L520" s="106" t="s">
        <v>2432</v>
      </c>
      <c r="N520" s="91">
        <f t="shared" si="16"/>
        <v>1</v>
      </c>
      <c r="O520" s="79" t="s">
        <v>1360</v>
      </c>
      <c r="P520" s="79" t="s">
        <v>1360</v>
      </c>
      <c r="Q520" s="79" t="s">
        <v>1359</v>
      </c>
      <c r="R520" s="79" t="s">
        <v>2762</v>
      </c>
      <c r="S520" s="79" t="s">
        <v>2765</v>
      </c>
      <c r="T520" s="79" t="s">
        <v>1361</v>
      </c>
      <c r="U520" s="79" t="s">
        <v>1362</v>
      </c>
      <c r="V520" s="79" t="s">
        <v>898</v>
      </c>
      <c r="W520" s="79" t="s">
        <v>1363</v>
      </c>
      <c r="Y520" s="79" t="s">
        <v>1359</v>
      </c>
    </row>
    <row r="521" spans="2:25" ht="12.75" customHeight="1" x14ac:dyDescent="0.2">
      <c r="B521" s="106" t="s">
        <v>2382</v>
      </c>
      <c r="C521" s="106" t="s">
        <v>2382</v>
      </c>
      <c r="D521" s="106" t="s">
        <v>2381</v>
      </c>
      <c r="E521" s="107" t="str">
        <f t="shared" si="17"/>
        <v>BELLAIRE, OH, 43906</v>
      </c>
      <c r="F521" s="106" t="s">
        <v>2381</v>
      </c>
      <c r="G521" s="106" t="s">
        <v>1995</v>
      </c>
      <c r="H521" s="106" t="s">
        <v>2791</v>
      </c>
      <c r="I521" s="106" t="s">
        <v>2809</v>
      </c>
      <c r="J521" s="106" t="s">
        <v>1996</v>
      </c>
      <c r="K521" s="106" t="s">
        <v>707</v>
      </c>
      <c r="L521" s="106" t="s">
        <v>1997</v>
      </c>
      <c r="N521" s="91">
        <f t="shared" si="16"/>
        <v>1</v>
      </c>
      <c r="O521" s="79" t="s">
        <v>1562</v>
      </c>
      <c r="P521" s="79" t="s">
        <v>1562</v>
      </c>
      <c r="Q521" s="79" t="s">
        <v>1561</v>
      </c>
      <c r="R521" s="79" t="s">
        <v>2786</v>
      </c>
      <c r="S521" s="79" t="s">
        <v>2848</v>
      </c>
      <c r="T521" s="79" t="s">
        <v>1563</v>
      </c>
      <c r="U521" s="79" t="s">
        <v>1564</v>
      </c>
      <c r="V521" s="79" t="s">
        <v>707</v>
      </c>
      <c r="W521" s="79" t="s">
        <v>1565</v>
      </c>
      <c r="Y521" s="79" t="s">
        <v>1561</v>
      </c>
    </row>
    <row r="522" spans="2:25" ht="12.75" customHeight="1" x14ac:dyDescent="0.2">
      <c r="B522" s="106" t="s">
        <v>2382</v>
      </c>
      <c r="C522" s="106" t="s">
        <v>2382</v>
      </c>
      <c r="D522" s="106" t="s">
        <v>2381</v>
      </c>
      <c r="E522" s="107" t="str">
        <f t="shared" si="17"/>
        <v>BELLAIRE, OH, 43906</v>
      </c>
      <c r="F522" s="106" t="s">
        <v>2381</v>
      </c>
      <c r="G522" s="106" t="s">
        <v>1995</v>
      </c>
      <c r="H522" s="106" t="s">
        <v>2791</v>
      </c>
      <c r="I522" s="106" t="s">
        <v>2809</v>
      </c>
      <c r="J522" s="106" t="s">
        <v>1996</v>
      </c>
      <c r="K522" s="106" t="s">
        <v>707</v>
      </c>
      <c r="L522" s="106" t="s">
        <v>1997</v>
      </c>
      <c r="N522" s="91">
        <f t="shared" si="16"/>
        <v>2</v>
      </c>
      <c r="O522" s="79" t="s">
        <v>1562</v>
      </c>
      <c r="P522" s="79" t="s">
        <v>1562</v>
      </c>
      <c r="Q522" s="79" t="s">
        <v>2681</v>
      </c>
      <c r="R522" s="79" t="s">
        <v>2786</v>
      </c>
      <c r="S522" s="79" t="s">
        <v>2848</v>
      </c>
      <c r="T522" s="79" t="s">
        <v>1563</v>
      </c>
      <c r="U522" s="79" t="s">
        <v>1564</v>
      </c>
      <c r="V522" s="79" t="s">
        <v>707</v>
      </c>
      <c r="W522" s="79" t="s">
        <v>1565</v>
      </c>
      <c r="Y522" s="79" t="s">
        <v>2681</v>
      </c>
    </row>
    <row r="523" spans="2:25" ht="12.75" customHeight="1" x14ac:dyDescent="0.2">
      <c r="B523" s="106" t="s">
        <v>1448</v>
      </c>
      <c r="C523" s="106" t="s">
        <v>1448</v>
      </c>
      <c r="D523" s="106" t="s">
        <v>1447</v>
      </c>
      <c r="E523" s="107" t="str">
        <f t="shared" si="17"/>
        <v>NORTH KINGSVILLE, OH, 44068</v>
      </c>
      <c r="F523" s="106" t="s">
        <v>1447</v>
      </c>
      <c r="G523" s="106" t="s">
        <v>1449</v>
      </c>
      <c r="H523" s="106" t="s">
        <v>2762</v>
      </c>
      <c r="I523" s="106" t="s">
        <v>2790</v>
      </c>
      <c r="J523" s="106" t="s">
        <v>1450</v>
      </c>
      <c r="K523" s="106" t="s">
        <v>707</v>
      </c>
      <c r="L523" s="106" t="s">
        <v>1358</v>
      </c>
      <c r="N523" s="91">
        <f t="shared" si="16"/>
        <v>3</v>
      </c>
      <c r="O523" s="79" t="s">
        <v>1562</v>
      </c>
      <c r="P523" s="79" t="s">
        <v>1562</v>
      </c>
      <c r="Q523" s="79" t="s">
        <v>2682</v>
      </c>
      <c r="R523" s="79" t="s">
        <v>2786</v>
      </c>
      <c r="S523" s="79" t="s">
        <v>2848</v>
      </c>
      <c r="T523" s="79" t="s">
        <v>1563</v>
      </c>
      <c r="U523" s="79" t="s">
        <v>1564</v>
      </c>
      <c r="V523" s="79" t="s">
        <v>707</v>
      </c>
      <c r="W523" s="79" t="s">
        <v>1565</v>
      </c>
      <c r="Y523" s="79" t="s">
        <v>2682</v>
      </c>
    </row>
    <row r="524" spans="2:25" ht="12.75" customHeight="1" x14ac:dyDescent="0.2">
      <c r="B524" s="106" t="s">
        <v>1360</v>
      </c>
      <c r="C524" s="106" t="s">
        <v>1360</v>
      </c>
      <c r="D524" s="106" t="s">
        <v>1359</v>
      </c>
      <c r="E524" s="107" t="str">
        <f t="shared" si="17"/>
        <v>VOLANT, PA, 16156</v>
      </c>
      <c r="F524" s="106" t="s">
        <v>1359</v>
      </c>
      <c r="G524" s="106" t="s">
        <v>1361</v>
      </c>
      <c r="H524" s="106" t="s">
        <v>2762</v>
      </c>
      <c r="I524" s="106" t="s">
        <v>2765</v>
      </c>
      <c r="J524" s="106" t="s">
        <v>1362</v>
      </c>
      <c r="K524" s="106" t="s">
        <v>898</v>
      </c>
      <c r="L524" s="106" t="s">
        <v>1363</v>
      </c>
      <c r="N524" s="91">
        <f t="shared" si="16"/>
        <v>1</v>
      </c>
      <c r="O524" s="79" t="s">
        <v>1090</v>
      </c>
      <c r="P524" s="79" t="s">
        <v>1090</v>
      </c>
      <c r="Q524" s="79" t="s">
        <v>1089</v>
      </c>
      <c r="R524" s="79" t="s">
        <v>2759</v>
      </c>
      <c r="S524" s="79" t="s">
        <v>2761</v>
      </c>
      <c r="T524" s="79" t="s">
        <v>964</v>
      </c>
      <c r="U524" s="79" t="s">
        <v>965</v>
      </c>
      <c r="V524" s="79" t="s">
        <v>707</v>
      </c>
      <c r="W524" s="79" t="s">
        <v>966</v>
      </c>
      <c r="Y524" s="79" t="s">
        <v>1089</v>
      </c>
    </row>
    <row r="525" spans="2:25" ht="12.75" customHeight="1" x14ac:dyDescent="0.2">
      <c r="B525" s="106" t="s">
        <v>1562</v>
      </c>
      <c r="C525" s="106" t="s">
        <v>1562</v>
      </c>
      <c r="D525" s="106" t="s">
        <v>1561</v>
      </c>
      <c r="E525" s="107" t="str">
        <f t="shared" si="17"/>
        <v>GAMBIER, OH, 43022</v>
      </c>
      <c r="F525" s="106" t="s">
        <v>1561</v>
      </c>
      <c r="G525" s="106" t="s">
        <v>1563</v>
      </c>
      <c r="H525" s="106" t="s">
        <v>2786</v>
      </c>
      <c r="I525" s="106" t="s">
        <v>2848</v>
      </c>
      <c r="J525" s="106" t="s">
        <v>1564</v>
      </c>
      <c r="K525" s="106" t="s">
        <v>707</v>
      </c>
      <c r="L525" s="106" t="s">
        <v>1565</v>
      </c>
      <c r="N525" s="91">
        <f t="shared" si="16"/>
        <v>1</v>
      </c>
      <c r="O525" s="79" t="s">
        <v>1094</v>
      </c>
      <c r="P525" s="79" t="s">
        <v>1094</v>
      </c>
      <c r="Q525" s="79" t="s">
        <v>1093</v>
      </c>
      <c r="R525" s="79" t="s">
        <v>2767</v>
      </c>
      <c r="S525" s="79" t="s">
        <v>2816</v>
      </c>
      <c r="T525" s="79" t="s">
        <v>973</v>
      </c>
      <c r="U525" s="79" t="s">
        <v>974</v>
      </c>
      <c r="V525" s="79" t="s">
        <v>707</v>
      </c>
      <c r="W525" s="79" t="s">
        <v>975</v>
      </c>
      <c r="Y525" s="79" t="s">
        <v>1093</v>
      </c>
    </row>
    <row r="526" spans="2:25" ht="12.75" customHeight="1" x14ac:dyDescent="0.2">
      <c r="B526" s="143" t="s">
        <v>1562</v>
      </c>
      <c r="C526" s="143" t="s">
        <v>1562</v>
      </c>
      <c r="D526" s="143" t="s">
        <v>2681</v>
      </c>
      <c r="E526" s="107" t="str">
        <f t="shared" si="17"/>
        <v>GAMBIER, OH, 43022</v>
      </c>
      <c r="F526" s="143" t="s">
        <v>2681</v>
      </c>
      <c r="G526" s="143" t="s">
        <v>1563</v>
      </c>
      <c r="H526" s="143" t="s">
        <v>2786</v>
      </c>
      <c r="I526" s="143" t="s">
        <v>2848</v>
      </c>
      <c r="J526" s="143" t="s">
        <v>1564</v>
      </c>
      <c r="K526" s="143" t="s">
        <v>707</v>
      </c>
      <c r="L526" s="143" t="s">
        <v>1565</v>
      </c>
      <c r="N526" s="91">
        <f t="shared" si="16"/>
        <v>1</v>
      </c>
      <c r="O526" s="79" t="s">
        <v>1092</v>
      </c>
      <c r="P526" s="79" t="s">
        <v>1092</v>
      </c>
      <c r="Q526" s="79" t="s">
        <v>1091</v>
      </c>
      <c r="R526" s="79" t="s">
        <v>2759</v>
      </c>
      <c r="S526" s="79" t="s">
        <v>2760</v>
      </c>
      <c r="T526" s="79" t="s">
        <v>969</v>
      </c>
      <c r="U526" s="79" t="s">
        <v>843</v>
      </c>
      <c r="V526" s="79" t="s">
        <v>707</v>
      </c>
      <c r="W526" s="79" t="s">
        <v>970</v>
      </c>
      <c r="Y526" s="79" t="s">
        <v>1091</v>
      </c>
    </row>
    <row r="527" spans="2:25" ht="12.75" customHeight="1" x14ac:dyDescent="0.2">
      <c r="B527" s="143" t="s">
        <v>1562</v>
      </c>
      <c r="C527" s="143" t="s">
        <v>1562</v>
      </c>
      <c r="D527" s="143" t="s">
        <v>2682</v>
      </c>
      <c r="E527" s="107" t="str">
        <f t="shared" si="17"/>
        <v>GAMBIER, OH, 43022</v>
      </c>
      <c r="F527" s="143" t="s">
        <v>2682</v>
      </c>
      <c r="G527" s="143" t="s">
        <v>1563</v>
      </c>
      <c r="H527" s="143" t="s">
        <v>2786</v>
      </c>
      <c r="I527" s="143" t="s">
        <v>2848</v>
      </c>
      <c r="J527" s="143" t="s">
        <v>1564</v>
      </c>
      <c r="K527" s="143" t="s">
        <v>707</v>
      </c>
      <c r="L527" s="143" t="s">
        <v>1565</v>
      </c>
      <c r="N527" s="91">
        <f t="shared" si="16"/>
        <v>1</v>
      </c>
      <c r="O527" s="79" t="s">
        <v>1088</v>
      </c>
      <c r="P527" s="79" t="s">
        <v>1088</v>
      </c>
      <c r="Q527" s="79" t="s">
        <v>1087</v>
      </c>
      <c r="R527" s="79" t="s">
        <v>2759</v>
      </c>
      <c r="S527" s="79" t="s">
        <v>2760</v>
      </c>
      <c r="T527" s="79" t="s">
        <v>954</v>
      </c>
      <c r="U527" s="79" t="s">
        <v>843</v>
      </c>
      <c r="V527" s="79" t="s">
        <v>707</v>
      </c>
      <c r="W527" s="79" t="s">
        <v>955</v>
      </c>
      <c r="Y527" s="79" t="s">
        <v>1087</v>
      </c>
    </row>
    <row r="528" spans="2:25" ht="12.75" customHeight="1" x14ac:dyDescent="0.2">
      <c r="B528" s="106" t="s">
        <v>1090</v>
      </c>
      <c r="C528" s="106" t="s">
        <v>1090</v>
      </c>
      <c r="D528" s="106" t="s">
        <v>1089</v>
      </c>
      <c r="E528" s="107" t="str">
        <f t="shared" si="17"/>
        <v>GRAND RIVER, OH, 44045</v>
      </c>
      <c r="F528" s="106" t="s">
        <v>1089</v>
      </c>
      <c r="G528" s="106" t="s">
        <v>964</v>
      </c>
      <c r="H528" s="106" t="s">
        <v>2759</v>
      </c>
      <c r="I528" s="106" t="s">
        <v>2761</v>
      </c>
      <c r="J528" s="106" t="s">
        <v>965</v>
      </c>
      <c r="K528" s="106" t="s">
        <v>707</v>
      </c>
      <c r="L528" s="106" t="s">
        <v>966</v>
      </c>
      <c r="N528" s="91">
        <f t="shared" si="16"/>
        <v>1</v>
      </c>
      <c r="O528" s="79" t="s">
        <v>1437</v>
      </c>
      <c r="P528" s="79" t="s">
        <v>1437</v>
      </c>
      <c r="Q528" s="79" t="s">
        <v>1436</v>
      </c>
      <c r="R528" s="79" t="s">
        <v>2762</v>
      </c>
      <c r="S528" s="79" t="s">
        <v>2774</v>
      </c>
      <c r="T528" s="79" t="s">
        <v>1438</v>
      </c>
      <c r="U528" s="79" t="s">
        <v>1439</v>
      </c>
      <c r="V528" s="79" t="s">
        <v>707</v>
      </c>
      <c r="W528" s="79" t="s">
        <v>1440</v>
      </c>
      <c r="Y528" s="79" t="s">
        <v>1436</v>
      </c>
    </row>
    <row r="529" spans="2:25" ht="12.75" customHeight="1" x14ac:dyDescent="0.2">
      <c r="B529" s="106" t="s">
        <v>1094</v>
      </c>
      <c r="C529" s="106" t="s">
        <v>1094</v>
      </c>
      <c r="D529" s="106" t="s">
        <v>1093</v>
      </c>
      <c r="E529" s="107" t="str">
        <f t="shared" si="17"/>
        <v>LORAIN, OH, 44052</v>
      </c>
      <c r="F529" s="106" t="s">
        <v>1093</v>
      </c>
      <c r="G529" s="106" t="s">
        <v>973</v>
      </c>
      <c r="H529" s="106" t="s">
        <v>2767</v>
      </c>
      <c r="I529" s="106" t="s">
        <v>2816</v>
      </c>
      <c r="J529" s="106" t="s">
        <v>974</v>
      </c>
      <c r="K529" s="106" t="s">
        <v>707</v>
      </c>
      <c r="L529" s="106" t="s">
        <v>975</v>
      </c>
      <c r="N529" s="91">
        <f t="shared" si="16"/>
        <v>1</v>
      </c>
      <c r="O529" s="79" t="s">
        <v>2446</v>
      </c>
      <c r="P529" s="79" t="s">
        <v>2446</v>
      </c>
      <c r="Q529" s="79" t="s">
        <v>2445</v>
      </c>
      <c r="R529" s="79" t="s">
        <v>2791</v>
      </c>
      <c r="S529" s="79" t="s">
        <v>2812</v>
      </c>
      <c r="T529" s="79" t="s">
        <v>2447</v>
      </c>
      <c r="U529" s="79" t="s">
        <v>2448</v>
      </c>
      <c r="V529" s="79" t="s">
        <v>707</v>
      </c>
      <c r="W529" s="79" t="s">
        <v>2449</v>
      </c>
      <c r="Y529" s="79" t="s">
        <v>2445</v>
      </c>
    </row>
    <row r="530" spans="2:25" ht="12.75" customHeight="1" x14ac:dyDescent="0.2">
      <c r="B530" s="106" t="s">
        <v>1092</v>
      </c>
      <c r="C530" s="106" t="s">
        <v>1092</v>
      </c>
      <c r="D530" s="106" t="s">
        <v>1091</v>
      </c>
      <c r="E530" s="107" t="str">
        <f t="shared" si="17"/>
        <v>CLEVELAND, OH, 44115</v>
      </c>
      <c r="F530" s="106" t="s">
        <v>1091</v>
      </c>
      <c r="G530" s="106" t="s">
        <v>969</v>
      </c>
      <c r="H530" s="106" t="s">
        <v>2759</v>
      </c>
      <c r="I530" s="106" t="s">
        <v>2760</v>
      </c>
      <c r="J530" s="106" t="s">
        <v>843</v>
      </c>
      <c r="K530" s="106" t="s">
        <v>707</v>
      </c>
      <c r="L530" s="106" t="s">
        <v>970</v>
      </c>
      <c r="N530" s="91">
        <f t="shared" si="16"/>
        <v>1</v>
      </c>
      <c r="O530" s="79" t="s">
        <v>1413</v>
      </c>
      <c r="P530" s="79" t="s">
        <v>1413</v>
      </c>
      <c r="Q530" s="79" t="s">
        <v>1412</v>
      </c>
      <c r="R530" s="79" t="s">
        <v>2762</v>
      </c>
      <c r="S530" s="79" t="s">
        <v>2853</v>
      </c>
      <c r="T530" s="79" t="s">
        <v>1414</v>
      </c>
      <c r="U530" s="79" t="s">
        <v>1415</v>
      </c>
      <c r="V530" s="79" t="s">
        <v>707</v>
      </c>
      <c r="W530" s="79" t="s">
        <v>1416</v>
      </c>
      <c r="Y530" s="79" t="s">
        <v>1412</v>
      </c>
    </row>
    <row r="531" spans="2:25" ht="12.75" customHeight="1" x14ac:dyDescent="0.2">
      <c r="B531" s="106" t="s">
        <v>1088</v>
      </c>
      <c r="C531" s="106" t="s">
        <v>1088</v>
      </c>
      <c r="D531" s="106" t="s">
        <v>1087</v>
      </c>
      <c r="E531" s="107" t="str">
        <f t="shared" si="17"/>
        <v>CLEVELAND, OH, 44113</v>
      </c>
      <c r="F531" s="106" t="s">
        <v>1087</v>
      </c>
      <c r="G531" s="106" t="s">
        <v>954</v>
      </c>
      <c r="H531" s="106" t="s">
        <v>2759</v>
      </c>
      <c r="I531" s="106" t="s">
        <v>2760</v>
      </c>
      <c r="J531" s="106" t="s">
        <v>843</v>
      </c>
      <c r="K531" s="106" t="s">
        <v>707</v>
      </c>
      <c r="L531" s="106" t="s">
        <v>955</v>
      </c>
      <c r="N531" s="91">
        <f t="shared" si="16"/>
        <v>1</v>
      </c>
      <c r="O531" s="79" t="s">
        <v>2099</v>
      </c>
      <c r="P531" s="79" t="s">
        <v>2099</v>
      </c>
      <c r="Q531" s="79" t="s">
        <v>2098</v>
      </c>
      <c r="R531" s="79" t="s">
        <v>2780</v>
      </c>
      <c r="S531" s="79" t="s">
        <v>2818</v>
      </c>
      <c r="T531" s="79" t="s">
        <v>2100</v>
      </c>
      <c r="U531" s="79" t="s">
        <v>2101</v>
      </c>
      <c r="V531" s="79" t="s">
        <v>707</v>
      </c>
      <c r="W531" s="79" t="s">
        <v>2102</v>
      </c>
      <c r="Y531" s="79" t="s">
        <v>2098</v>
      </c>
    </row>
    <row r="532" spans="2:25" ht="12.75" customHeight="1" x14ac:dyDescent="0.2">
      <c r="B532" s="106" t="s">
        <v>1437</v>
      </c>
      <c r="C532" s="106" t="s">
        <v>1437</v>
      </c>
      <c r="D532" s="106" t="s">
        <v>1436</v>
      </c>
      <c r="E532" s="107" t="str">
        <f t="shared" si="17"/>
        <v>ROOTSTOWN, OH, 44272</v>
      </c>
      <c r="F532" s="106" t="s">
        <v>1436</v>
      </c>
      <c r="G532" s="106" t="s">
        <v>1438</v>
      </c>
      <c r="H532" s="106" t="s">
        <v>2762</v>
      </c>
      <c r="I532" s="106" t="s">
        <v>2774</v>
      </c>
      <c r="J532" s="106" t="s">
        <v>1439</v>
      </c>
      <c r="K532" s="106" t="s">
        <v>707</v>
      </c>
      <c r="L532" s="106" t="s">
        <v>1440</v>
      </c>
      <c r="N532" s="91">
        <f t="shared" si="16"/>
        <v>1</v>
      </c>
      <c r="O532" s="79" t="s">
        <v>1967</v>
      </c>
      <c r="P532" s="79" t="s">
        <v>1967</v>
      </c>
      <c r="Q532" s="79" t="s">
        <v>1966</v>
      </c>
      <c r="R532" s="79" t="s">
        <v>2770</v>
      </c>
      <c r="S532" s="79" t="s">
        <v>2789</v>
      </c>
      <c r="T532" s="79" t="s">
        <v>1968</v>
      </c>
      <c r="U532" s="79" t="s">
        <v>1969</v>
      </c>
      <c r="V532" s="79" t="s">
        <v>707</v>
      </c>
      <c r="W532" s="79" t="s">
        <v>1970</v>
      </c>
      <c r="Y532" s="79" t="s">
        <v>1966</v>
      </c>
    </row>
    <row r="533" spans="2:25" ht="12.75" customHeight="1" x14ac:dyDescent="0.2">
      <c r="B533" s="106" t="s">
        <v>2446</v>
      </c>
      <c r="C533" s="106" t="s">
        <v>2446</v>
      </c>
      <c r="D533" s="106" t="s">
        <v>2445</v>
      </c>
      <c r="E533" s="107" t="str">
        <f t="shared" si="17"/>
        <v>BEACH CITY, OH, 44608</v>
      </c>
      <c r="F533" s="106" t="s">
        <v>2445</v>
      </c>
      <c r="G533" s="106" t="s">
        <v>2447</v>
      </c>
      <c r="H533" s="106" t="s">
        <v>2791</v>
      </c>
      <c r="I533" s="106" t="s">
        <v>2812</v>
      </c>
      <c r="J533" s="106" t="s">
        <v>2448</v>
      </c>
      <c r="K533" s="106" t="s">
        <v>707</v>
      </c>
      <c r="L533" s="106" t="s">
        <v>2449</v>
      </c>
      <c r="N533" s="91">
        <f t="shared" ref="N533:N596" si="18">IF(O533=O532,1+N532,1)</f>
        <v>1</v>
      </c>
      <c r="O533" s="79" t="s">
        <v>1116</v>
      </c>
      <c r="P533" s="79" t="s">
        <v>1116</v>
      </c>
      <c r="Q533" s="79" t="s">
        <v>1115</v>
      </c>
      <c r="R533" s="79" t="s">
        <v>2772</v>
      </c>
      <c r="S533" s="79" t="s">
        <v>2811</v>
      </c>
      <c r="T533" s="79" t="s">
        <v>1117</v>
      </c>
      <c r="U533" s="79" t="s">
        <v>1118</v>
      </c>
      <c r="V533" s="79" t="s">
        <v>723</v>
      </c>
      <c r="W533" s="79" t="s">
        <v>1119</v>
      </c>
      <c r="Y533" s="79" t="s">
        <v>1115</v>
      </c>
    </row>
    <row r="534" spans="2:25" ht="12.75" customHeight="1" x14ac:dyDescent="0.2">
      <c r="B534" s="106" t="s">
        <v>1413</v>
      </c>
      <c r="C534" s="106" t="s">
        <v>1413</v>
      </c>
      <c r="D534" s="106" t="s">
        <v>1412</v>
      </c>
      <c r="E534" s="107" t="str">
        <f t="shared" si="17"/>
        <v>SALEM, OH, 44460</v>
      </c>
      <c r="F534" s="106" t="s">
        <v>1412</v>
      </c>
      <c r="G534" s="106" t="s">
        <v>1414</v>
      </c>
      <c r="H534" s="106" t="s">
        <v>2762</v>
      </c>
      <c r="I534" s="106" t="s">
        <v>2853</v>
      </c>
      <c r="J534" s="106" t="s">
        <v>1415</v>
      </c>
      <c r="K534" s="106" t="s">
        <v>707</v>
      </c>
      <c r="L534" s="106" t="s">
        <v>1416</v>
      </c>
      <c r="N534" s="91">
        <f t="shared" si="18"/>
        <v>1</v>
      </c>
      <c r="O534" s="79" t="s">
        <v>2591</v>
      </c>
      <c r="P534" s="79" t="s">
        <v>2591</v>
      </c>
      <c r="Q534" s="79" t="s">
        <v>2590</v>
      </c>
      <c r="R534" s="79" t="s">
        <v>2772</v>
      </c>
      <c r="S534" s="79" t="s">
        <v>2803</v>
      </c>
      <c r="T534" s="79" t="s">
        <v>2592</v>
      </c>
      <c r="U534" s="79" t="s">
        <v>1069</v>
      </c>
      <c r="V534" s="79" t="s">
        <v>707</v>
      </c>
      <c r="W534" s="79" t="s">
        <v>1034</v>
      </c>
      <c r="Y534" s="79" t="s">
        <v>2590</v>
      </c>
    </row>
    <row r="535" spans="2:25" ht="12.75" customHeight="1" x14ac:dyDescent="0.2">
      <c r="B535" s="106" t="s">
        <v>2099</v>
      </c>
      <c r="C535" s="106" t="s">
        <v>2099</v>
      </c>
      <c r="D535" s="106" t="s">
        <v>2098</v>
      </c>
      <c r="E535" s="107" t="str">
        <f t="shared" si="17"/>
        <v>PIKETON, OH, 45661</v>
      </c>
      <c r="F535" s="106" t="s">
        <v>2098</v>
      </c>
      <c r="G535" s="106" t="s">
        <v>2100</v>
      </c>
      <c r="H535" s="106" t="s">
        <v>2780</v>
      </c>
      <c r="I535" s="106" t="s">
        <v>2818</v>
      </c>
      <c r="J535" s="106" t="s">
        <v>2101</v>
      </c>
      <c r="K535" s="106" t="s">
        <v>707</v>
      </c>
      <c r="L535" s="106" t="s">
        <v>2102</v>
      </c>
      <c r="N535" s="91">
        <f t="shared" si="18"/>
        <v>1</v>
      </c>
      <c r="O535" s="79" t="s">
        <v>2541</v>
      </c>
      <c r="P535" s="79" t="s">
        <v>2541</v>
      </c>
      <c r="Q535" s="79" t="s">
        <v>2540</v>
      </c>
      <c r="R535" s="79" t="s">
        <v>2759</v>
      </c>
      <c r="S535" s="79" t="s">
        <v>2760</v>
      </c>
      <c r="T535" s="79" t="s">
        <v>2542</v>
      </c>
      <c r="U535" s="79" t="s">
        <v>843</v>
      </c>
      <c r="V535" s="79" t="s">
        <v>707</v>
      </c>
      <c r="W535" s="79" t="s">
        <v>955</v>
      </c>
      <c r="Y535" s="79" t="s">
        <v>2540</v>
      </c>
    </row>
    <row r="536" spans="2:25" ht="12.75" customHeight="1" x14ac:dyDescent="0.2">
      <c r="B536" s="106" t="s">
        <v>1967</v>
      </c>
      <c r="C536" s="106" t="s">
        <v>1967</v>
      </c>
      <c r="D536" s="106" t="s">
        <v>1966</v>
      </c>
      <c r="E536" s="107" t="str">
        <f t="shared" si="17"/>
        <v>CLEVES, OH, 45002</v>
      </c>
      <c r="F536" s="106" t="s">
        <v>1966</v>
      </c>
      <c r="G536" s="106" t="s">
        <v>1968</v>
      </c>
      <c r="H536" s="106" t="s">
        <v>2770</v>
      </c>
      <c r="I536" s="106" t="s">
        <v>2789</v>
      </c>
      <c r="J536" s="106" t="s">
        <v>1969</v>
      </c>
      <c r="K536" s="106" t="s">
        <v>707</v>
      </c>
      <c r="L536" s="106" t="s">
        <v>1970</v>
      </c>
      <c r="N536" s="91">
        <f t="shared" si="18"/>
        <v>1</v>
      </c>
      <c r="O536" s="79" t="s">
        <v>2544</v>
      </c>
      <c r="P536" s="79" t="s">
        <v>2544</v>
      </c>
      <c r="Q536" s="79" t="s">
        <v>2543</v>
      </c>
      <c r="R536" s="79" t="s">
        <v>2762</v>
      </c>
      <c r="S536" s="79" t="s">
        <v>2769</v>
      </c>
      <c r="T536" s="79" t="s">
        <v>807</v>
      </c>
      <c r="U536" s="79" t="s">
        <v>808</v>
      </c>
      <c r="V536" s="79" t="s">
        <v>707</v>
      </c>
      <c r="W536" s="79" t="s">
        <v>809</v>
      </c>
      <c r="Y536" s="79" t="s">
        <v>2543</v>
      </c>
    </row>
    <row r="537" spans="2:25" ht="12.75" customHeight="1" x14ac:dyDescent="0.2">
      <c r="B537" s="106" t="s">
        <v>1116</v>
      </c>
      <c r="C537" s="106" t="s">
        <v>1116</v>
      </c>
      <c r="D537" s="106" t="s">
        <v>1115</v>
      </c>
      <c r="E537" s="107" t="str">
        <f t="shared" si="17"/>
        <v>BUTLER, IN, 46721</v>
      </c>
      <c r="F537" s="106" t="s">
        <v>1115</v>
      </c>
      <c r="G537" s="106" t="s">
        <v>1117</v>
      </c>
      <c r="H537" s="106" t="s">
        <v>2772</v>
      </c>
      <c r="I537" s="106" t="s">
        <v>2811</v>
      </c>
      <c r="J537" s="106" t="s">
        <v>1118</v>
      </c>
      <c r="K537" s="106" t="s">
        <v>723</v>
      </c>
      <c r="L537" s="106" t="s">
        <v>1119</v>
      </c>
      <c r="N537" s="91">
        <f t="shared" si="18"/>
        <v>1</v>
      </c>
      <c r="O537" s="79" t="s">
        <v>2575</v>
      </c>
      <c r="P537" s="79" t="s">
        <v>2575</v>
      </c>
      <c r="Q537" s="79" t="s">
        <v>2574</v>
      </c>
      <c r="R537" s="79" t="s">
        <v>2791</v>
      </c>
      <c r="S537" s="79" t="s">
        <v>2812</v>
      </c>
      <c r="T537" s="79" t="s">
        <v>2576</v>
      </c>
      <c r="U537" s="79" t="s">
        <v>2386</v>
      </c>
      <c r="V537" s="79" t="s">
        <v>707</v>
      </c>
      <c r="W537" s="79" t="s">
        <v>2387</v>
      </c>
      <c r="Y537" s="79" t="s">
        <v>2574</v>
      </c>
    </row>
    <row r="538" spans="2:25" ht="12.75" customHeight="1" x14ac:dyDescent="0.2">
      <c r="B538" s="106" t="s">
        <v>2591</v>
      </c>
      <c r="C538" s="106" t="s">
        <v>2591</v>
      </c>
      <c r="D538" s="106" t="s">
        <v>2590</v>
      </c>
      <c r="E538" s="107" t="str">
        <f t="shared" si="17"/>
        <v>GENOA, OH, 43560</v>
      </c>
      <c r="F538" s="106" t="s">
        <v>2590</v>
      </c>
      <c r="G538" s="106" t="s">
        <v>2592</v>
      </c>
      <c r="H538" s="106" t="s">
        <v>2772</v>
      </c>
      <c r="I538" s="106" t="s">
        <v>2803</v>
      </c>
      <c r="J538" s="106" t="s">
        <v>1069</v>
      </c>
      <c r="K538" s="106" t="s">
        <v>707</v>
      </c>
      <c r="L538" s="106" t="s">
        <v>1034</v>
      </c>
      <c r="N538" s="91">
        <f t="shared" si="18"/>
        <v>2</v>
      </c>
      <c r="O538" s="79" t="s">
        <v>2575</v>
      </c>
      <c r="P538" s="79" t="s">
        <v>2575</v>
      </c>
      <c r="Q538" s="79" t="s">
        <v>2749</v>
      </c>
      <c r="R538" s="79" t="s">
        <v>2791</v>
      </c>
      <c r="S538" s="79" t="s">
        <v>2812</v>
      </c>
      <c r="T538" s="79" t="s">
        <v>2576</v>
      </c>
      <c r="U538" s="79" t="s">
        <v>2386</v>
      </c>
      <c r="V538" s="79" t="s">
        <v>707</v>
      </c>
      <c r="W538" s="79" t="s">
        <v>2387</v>
      </c>
      <c r="Y538" s="79" t="s">
        <v>2749</v>
      </c>
    </row>
    <row r="539" spans="2:25" ht="12.75" customHeight="1" x14ac:dyDescent="0.2">
      <c r="B539" s="106" t="s">
        <v>2541</v>
      </c>
      <c r="C539" s="106" t="s">
        <v>2541</v>
      </c>
      <c r="D539" s="106" t="s">
        <v>2540</v>
      </c>
      <c r="E539" s="107" t="str">
        <f t="shared" si="17"/>
        <v>CLEVELAND, OH, 44113</v>
      </c>
      <c r="F539" s="106" t="s">
        <v>2540</v>
      </c>
      <c r="G539" s="106" t="s">
        <v>2542</v>
      </c>
      <c r="H539" s="106" t="s">
        <v>2759</v>
      </c>
      <c r="I539" s="106" t="s">
        <v>2760</v>
      </c>
      <c r="J539" s="106" t="s">
        <v>843</v>
      </c>
      <c r="K539" s="106" t="s">
        <v>707</v>
      </c>
      <c r="L539" s="106" t="s">
        <v>955</v>
      </c>
      <c r="N539" s="91">
        <f t="shared" si="18"/>
        <v>1</v>
      </c>
      <c r="O539" s="79" t="s">
        <v>2578</v>
      </c>
      <c r="P539" s="79" t="s">
        <v>2578</v>
      </c>
      <c r="Q539" s="79" t="s">
        <v>2577</v>
      </c>
      <c r="R539" s="79" t="s">
        <v>2791</v>
      </c>
      <c r="S539" s="79" t="s">
        <v>2764</v>
      </c>
      <c r="T539" s="79" t="s">
        <v>2012</v>
      </c>
      <c r="U539" s="79" t="s">
        <v>2013</v>
      </c>
      <c r="V539" s="79" t="s">
        <v>1489</v>
      </c>
      <c r="W539" s="79" t="s">
        <v>2014</v>
      </c>
      <c r="Y539" s="79" t="s">
        <v>2577</v>
      </c>
    </row>
    <row r="540" spans="2:25" ht="12.75" customHeight="1" x14ac:dyDescent="0.2">
      <c r="B540" s="106" t="s">
        <v>2575</v>
      </c>
      <c r="C540" s="106" t="s">
        <v>2575</v>
      </c>
      <c r="D540" s="106" t="s">
        <v>2574</v>
      </c>
      <c r="E540" s="107" t="str">
        <f t="shared" si="17"/>
        <v>GNADENHUTTEN, OH, 44629</v>
      </c>
      <c r="F540" s="106" t="s">
        <v>2574</v>
      </c>
      <c r="G540" s="106" t="s">
        <v>2576</v>
      </c>
      <c r="H540" s="106" t="s">
        <v>2791</v>
      </c>
      <c r="I540" s="106" t="s">
        <v>2812</v>
      </c>
      <c r="J540" s="106" t="s">
        <v>2386</v>
      </c>
      <c r="K540" s="106" t="s">
        <v>707</v>
      </c>
      <c r="L540" s="106" t="s">
        <v>2387</v>
      </c>
      <c r="N540" s="91">
        <f t="shared" si="18"/>
        <v>1</v>
      </c>
      <c r="O540" s="79" t="s">
        <v>2384</v>
      </c>
      <c r="P540" s="79" t="s">
        <v>2384</v>
      </c>
      <c r="Q540" s="79" t="s">
        <v>2383</v>
      </c>
      <c r="R540" s="79" t="s">
        <v>2791</v>
      </c>
      <c r="S540" s="79" t="s">
        <v>2812</v>
      </c>
      <c r="T540" s="79" t="s">
        <v>2385</v>
      </c>
      <c r="U540" s="79" t="s">
        <v>2386</v>
      </c>
      <c r="V540" s="79" t="s">
        <v>707</v>
      </c>
      <c r="W540" s="79" t="s">
        <v>2387</v>
      </c>
      <c r="Y540" s="79" t="s">
        <v>2383</v>
      </c>
    </row>
    <row r="541" spans="2:25" ht="12.75" customHeight="1" x14ac:dyDescent="0.2">
      <c r="B541" s="143" t="s">
        <v>2575</v>
      </c>
      <c r="C541" s="143" t="s">
        <v>2575</v>
      </c>
      <c r="D541" s="143" t="s">
        <v>2749</v>
      </c>
      <c r="E541" s="107" t="str">
        <f t="shared" si="17"/>
        <v>GNADENHUTTEN, OH, 44629</v>
      </c>
      <c r="F541" s="143" t="s">
        <v>2749</v>
      </c>
      <c r="G541" s="143" t="s">
        <v>2576</v>
      </c>
      <c r="H541" s="143" t="s">
        <v>2791</v>
      </c>
      <c r="I541" s="143" t="s">
        <v>2812</v>
      </c>
      <c r="J541" s="143" t="s">
        <v>2386</v>
      </c>
      <c r="K541" s="143" t="s">
        <v>707</v>
      </c>
      <c r="L541" s="143" t="s">
        <v>2387</v>
      </c>
      <c r="N541" s="91">
        <f t="shared" si="18"/>
        <v>2</v>
      </c>
      <c r="O541" s="79" t="s">
        <v>2384</v>
      </c>
      <c r="P541" s="79" t="s">
        <v>2384</v>
      </c>
      <c r="Q541" s="79" t="s">
        <v>2747</v>
      </c>
      <c r="R541" s="79" t="s">
        <v>2791</v>
      </c>
      <c r="S541" s="79" t="s">
        <v>2812</v>
      </c>
      <c r="T541" s="79" t="s">
        <v>2385</v>
      </c>
      <c r="U541" s="79" t="s">
        <v>2386</v>
      </c>
      <c r="V541" s="79" t="s">
        <v>707</v>
      </c>
      <c r="W541" s="79" t="s">
        <v>2387</v>
      </c>
      <c r="Y541" s="79" t="s">
        <v>2747</v>
      </c>
    </row>
    <row r="542" spans="2:25" ht="12.75" customHeight="1" x14ac:dyDescent="0.2">
      <c r="B542" s="106" t="s">
        <v>2578</v>
      </c>
      <c r="C542" s="106" t="s">
        <v>2578</v>
      </c>
      <c r="D542" s="106" t="s">
        <v>2577</v>
      </c>
      <c r="E542" s="107" t="str">
        <f t="shared" si="17"/>
        <v>MOUNDSVILLE, WV, 26041</v>
      </c>
      <c r="F542" s="106" t="s">
        <v>2577</v>
      </c>
      <c r="G542" s="106" t="s">
        <v>2012</v>
      </c>
      <c r="H542" s="106" t="s">
        <v>2791</v>
      </c>
      <c r="I542" s="106" t="s">
        <v>2764</v>
      </c>
      <c r="J542" s="106" t="s">
        <v>2013</v>
      </c>
      <c r="K542" s="106" t="s">
        <v>1489</v>
      </c>
      <c r="L542" s="106" t="s">
        <v>2014</v>
      </c>
      <c r="N542" s="91">
        <f t="shared" si="18"/>
        <v>1</v>
      </c>
      <c r="O542" s="79" t="s">
        <v>2391</v>
      </c>
      <c r="P542" s="79" t="s">
        <v>2391</v>
      </c>
      <c r="Q542" s="79" t="s">
        <v>2390</v>
      </c>
      <c r="R542" s="79" t="s">
        <v>2782</v>
      </c>
      <c r="S542" s="79" t="s">
        <v>2783</v>
      </c>
      <c r="T542" s="79" t="s">
        <v>1987</v>
      </c>
      <c r="U542" s="79" t="s">
        <v>1988</v>
      </c>
      <c r="V542" s="79" t="s">
        <v>1489</v>
      </c>
      <c r="W542" s="79" t="s">
        <v>1989</v>
      </c>
      <c r="Y542" s="79" t="s">
        <v>2390</v>
      </c>
    </row>
    <row r="543" spans="2:25" ht="12.75" customHeight="1" x14ac:dyDescent="0.2">
      <c r="B543" s="106" t="s">
        <v>2384</v>
      </c>
      <c r="C543" s="106" t="s">
        <v>2384</v>
      </c>
      <c r="D543" s="106" t="s">
        <v>2383</v>
      </c>
      <c r="E543" s="107" t="str">
        <f t="shared" si="17"/>
        <v>GNADENHUTTEN, OH, 44629</v>
      </c>
      <c r="F543" s="106" t="s">
        <v>2383</v>
      </c>
      <c r="G543" s="106" t="s">
        <v>2385</v>
      </c>
      <c r="H543" s="106" t="s">
        <v>2791</v>
      </c>
      <c r="I543" s="106" t="s">
        <v>2812</v>
      </c>
      <c r="J543" s="106" t="s">
        <v>2386</v>
      </c>
      <c r="K543" s="106" t="s">
        <v>707</v>
      </c>
      <c r="L543" s="106" t="s">
        <v>2387</v>
      </c>
      <c r="N543" s="91">
        <f t="shared" si="18"/>
        <v>1</v>
      </c>
      <c r="O543" s="79" t="s">
        <v>2393</v>
      </c>
      <c r="P543" s="79" t="s">
        <v>2393</v>
      </c>
      <c r="Q543" s="79" t="s">
        <v>2392</v>
      </c>
      <c r="R543" s="79" t="s">
        <v>2791</v>
      </c>
      <c r="S543" s="79" t="s">
        <v>2809</v>
      </c>
      <c r="T543" s="79" t="s">
        <v>2303</v>
      </c>
      <c r="U543" s="79" t="s">
        <v>2304</v>
      </c>
      <c r="V543" s="79" t="s">
        <v>707</v>
      </c>
      <c r="W543" s="79" t="s">
        <v>2305</v>
      </c>
      <c r="Y543" s="79" t="s">
        <v>2392</v>
      </c>
    </row>
    <row r="544" spans="2:25" ht="12.75" customHeight="1" x14ac:dyDescent="0.2">
      <c r="B544" s="143" t="s">
        <v>2384</v>
      </c>
      <c r="C544" s="143" t="s">
        <v>2384</v>
      </c>
      <c r="D544" s="143" t="s">
        <v>2747</v>
      </c>
      <c r="E544" s="107" t="str">
        <f t="shared" si="17"/>
        <v>GNADENHUTTEN, OH, 44629</v>
      </c>
      <c r="F544" s="143" t="s">
        <v>2747</v>
      </c>
      <c r="G544" s="143" t="s">
        <v>2385</v>
      </c>
      <c r="H544" s="143" t="s">
        <v>2791</v>
      </c>
      <c r="I544" s="143" t="s">
        <v>2812</v>
      </c>
      <c r="J544" s="143" t="s">
        <v>2386</v>
      </c>
      <c r="K544" s="143" t="s">
        <v>707</v>
      </c>
      <c r="L544" s="143" t="s">
        <v>2387</v>
      </c>
      <c r="N544" s="91">
        <f t="shared" si="18"/>
        <v>1</v>
      </c>
      <c r="O544" s="79" t="s">
        <v>2389</v>
      </c>
      <c r="P544" s="79" t="s">
        <v>2389</v>
      </c>
      <c r="Q544" s="79" t="s">
        <v>2388</v>
      </c>
      <c r="R544" s="79" t="s">
        <v>2791</v>
      </c>
      <c r="S544" s="79" t="s">
        <v>2764</v>
      </c>
      <c r="T544" s="79" t="s">
        <v>1487</v>
      </c>
      <c r="U544" s="79" t="s">
        <v>1488</v>
      </c>
      <c r="V544" s="79" t="s">
        <v>1489</v>
      </c>
      <c r="W544" s="79" t="s">
        <v>1490</v>
      </c>
      <c r="Y544" s="79" t="s">
        <v>2388</v>
      </c>
    </row>
    <row r="545" spans="2:25" ht="12.75" customHeight="1" x14ac:dyDescent="0.2">
      <c r="B545" s="106" t="s">
        <v>2391</v>
      </c>
      <c r="C545" s="106" t="s">
        <v>2391</v>
      </c>
      <c r="D545" s="106" t="s">
        <v>2390</v>
      </c>
      <c r="E545" s="107" t="str">
        <f t="shared" si="17"/>
        <v>BENWOOD, WV, 26031</v>
      </c>
      <c r="F545" s="106" t="s">
        <v>2390</v>
      </c>
      <c r="G545" s="106" t="s">
        <v>1987</v>
      </c>
      <c r="H545" s="106" t="s">
        <v>2782</v>
      </c>
      <c r="I545" s="106" t="s">
        <v>2783</v>
      </c>
      <c r="J545" s="106" t="s">
        <v>1988</v>
      </c>
      <c r="K545" s="106" t="s">
        <v>1489</v>
      </c>
      <c r="L545" s="106" t="s">
        <v>1989</v>
      </c>
      <c r="N545" s="91">
        <f t="shared" si="18"/>
        <v>1</v>
      </c>
      <c r="O545" s="79" t="s">
        <v>933</v>
      </c>
      <c r="P545" s="79" t="s">
        <v>933</v>
      </c>
      <c r="Q545" s="79" t="s">
        <v>932</v>
      </c>
      <c r="R545" s="79" t="s">
        <v>2804</v>
      </c>
      <c r="S545" s="79" t="s">
        <v>2764</v>
      </c>
      <c r="T545" s="79" t="s">
        <v>934</v>
      </c>
      <c r="U545" s="79" t="s">
        <v>935</v>
      </c>
      <c r="V545" s="79" t="s">
        <v>723</v>
      </c>
      <c r="W545" s="79" t="s">
        <v>936</v>
      </c>
      <c r="Y545" s="79" t="s">
        <v>932</v>
      </c>
    </row>
    <row r="546" spans="2:25" ht="12.75" customHeight="1" x14ac:dyDescent="0.2">
      <c r="B546" s="142" t="s">
        <v>2393</v>
      </c>
      <c r="C546" s="142" t="s">
        <v>2393</v>
      </c>
      <c r="D546" s="142" t="s">
        <v>2392</v>
      </c>
      <c r="E546" s="107" t="str">
        <f t="shared" si="17"/>
        <v>BETHESDA, OH, 43719</v>
      </c>
      <c r="F546" s="142" t="s">
        <v>2392</v>
      </c>
      <c r="G546" s="142" t="s">
        <v>2303</v>
      </c>
      <c r="H546" s="142" t="s">
        <v>2791</v>
      </c>
      <c r="I546" s="142" t="s">
        <v>2809</v>
      </c>
      <c r="J546" s="142" t="s">
        <v>2304</v>
      </c>
      <c r="K546" s="142" t="s">
        <v>707</v>
      </c>
      <c r="L546" s="142" t="s">
        <v>2305</v>
      </c>
      <c r="N546" s="91">
        <f t="shared" si="18"/>
        <v>1</v>
      </c>
      <c r="O546" s="79" t="s">
        <v>928</v>
      </c>
      <c r="P546" s="79" t="s">
        <v>928</v>
      </c>
      <c r="Q546" s="79" t="s">
        <v>927</v>
      </c>
      <c r="R546" s="79" t="s">
        <v>2804</v>
      </c>
      <c r="S546" s="79" t="s">
        <v>2764</v>
      </c>
      <c r="T546" s="79" t="s">
        <v>929</v>
      </c>
      <c r="U546" s="79" t="s">
        <v>930</v>
      </c>
      <c r="V546" s="79" t="s">
        <v>723</v>
      </c>
      <c r="W546" s="79" t="s">
        <v>931</v>
      </c>
      <c r="Y546" s="79" t="s">
        <v>927</v>
      </c>
    </row>
    <row r="547" spans="2:25" ht="12.75" customHeight="1" x14ac:dyDescent="0.2">
      <c r="B547" s="142" t="s">
        <v>2389</v>
      </c>
      <c r="C547" s="142" t="s">
        <v>2389</v>
      </c>
      <c r="D547" s="142" t="s">
        <v>2388</v>
      </c>
      <c r="E547" s="107" t="str">
        <f t="shared" si="17"/>
        <v>WEIRTON, WV, 26062</v>
      </c>
      <c r="F547" s="142" t="s">
        <v>2388</v>
      </c>
      <c r="G547" s="142" t="s">
        <v>1487</v>
      </c>
      <c r="H547" s="142" t="s">
        <v>2791</v>
      </c>
      <c r="I547" s="142" t="s">
        <v>2764</v>
      </c>
      <c r="J547" s="142" t="s">
        <v>1488</v>
      </c>
      <c r="K547" s="142" t="s">
        <v>1489</v>
      </c>
      <c r="L547" s="142" t="s">
        <v>1490</v>
      </c>
      <c r="N547" s="91">
        <f t="shared" si="18"/>
        <v>1</v>
      </c>
      <c r="O547" s="79" t="s">
        <v>1200</v>
      </c>
      <c r="P547" s="79" t="s">
        <v>1200</v>
      </c>
      <c r="Q547" s="79" t="s">
        <v>1199</v>
      </c>
      <c r="R547" s="79" t="s">
        <v>2772</v>
      </c>
      <c r="S547" s="79" t="s">
        <v>2764</v>
      </c>
      <c r="T547" s="79" t="s">
        <v>1201</v>
      </c>
      <c r="U547" s="79" t="s">
        <v>1177</v>
      </c>
      <c r="V547" s="79" t="s">
        <v>1075</v>
      </c>
      <c r="W547" s="79" t="s">
        <v>1202</v>
      </c>
      <c r="Y547" s="79" t="s">
        <v>1199</v>
      </c>
    </row>
    <row r="548" spans="2:25" ht="12.75" customHeight="1" x14ac:dyDescent="0.2">
      <c r="B548" s="142" t="s">
        <v>3133</v>
      </c>
      <c r="C548" s="142" t="s">
        <v>3133</v>
      </c>
      <c r="D548" s="142" t="s">
        <v>3134</v>
      </c>
      <c r="E548" s="107" t="str">
        <f t="shared" si="17"/>
        <v>BYESVILLE, OH, 43723</v>
      </c>
      <c r="F548" s="142" t="s">
        <v>3134</v>
      </c>
      <c r="G548" s="142" t="s">
        <v>3135</v>
      </c>
      <c r="H548" s="142" t="s">
        <v>2786</v>
      </c>
      <c r="I548" s="142" t="s">
        <v>2795</v>
      </c>
      <c r="J548" s="142" t="s">
        <v>3136</v>
      </c>
      <c r="K548" s="142" t="s">
        <v>707</v>
      </c>
      <c r="L548" s="142" t="s">
        <v>3137</v>
      </c>
      <c r="N548" s="91">
        <f t="shared" si="18"/>
        <v>1</v>
      </c>
      <c r="O548" s="79" t="s">
        <v>1152</v>
      </c>
      <c r="P548" s="79" t="s">
        <v>1152</v>
      </c>
      <c r="Q548" s="79" t="s">
        <v>1151</v>
      </c>
      <c r="R548" s="79" t="s">
        <v>2772</v>
      </c>
      <c r="S548" s="79" t="s">
        <v>2764</v>
      </c>
      <c r="T548" s="79" t="s">
        <v>1153</v>
      </c>
      <c r="U548" s="79" t="s">
        <v>1154</v>
      </c>
      <c r="V548" s="79" t="s">
        <v>1075</v>
      </c>
      <c r="W548" s="79" t="s">
        <v>1155</v>
      </c>
      <c r="Y548" s="79" t="s">
        <v>1151</v>
      </c>
    </row>
    <row r="549" spans="2:25" ht="12.75" customHeight="1" x14ac:dyDescent="0.2">
      <c r="B549" s="142" t="s">
        <v>933</v>
      </c>
      <c r="C549" s="142" t="s">
        <v>933</v>
      </c>
      <c r="D549" s="142" t="s">
        <v>932</v>
      </c>
      <c r="E549" s="107" t="str">
        <f t="shared" si="17"/>
        <v>HOAGLAND, IN, 46745</v>
      </c>
      <c r="F549" s="142" t="s">
        <v>932</v>
      </c>
      <c r="G549" s="142" t="s">
        <v>934</v>
      </c>
      <c r="H549" s="142" t="s">
        <v>2804</v>
      </c>
      <c r="I549" s="142" t="s">
        <v>2764</v>
      </c>
      <c r="J549" s="142" t="s">
        <v>935</v>
      </c>
      <c r="K549" s="142" t="s">
        <v>723</v>
      </c>
      <c r="L549" s="142" t="s">
        <v>936</v>
      </c>
      <c r="N549" s="91">
        <f t="shared" si="18"/>
        <v>1</v>
      </c>
      <c r="O549" s="79" t="s">
        <v>1101</v>
      </c>
      <c r="P549" s="79" t="s">
        <v>1101</v>
      </c>
      <c r="Q549" s="79" t="s">
        <v>1100</v>
      </c>
      <c r="R549" s="79" t="s">
        <v>2772</v>
      </c>
      <c r="S549" s="79" t="s">
        <v>2764</v>
      </c>
      <c r="T549" s="79" t="s">
        <v>1102</v>
      </c>
      <c r="U549" s="79" t="s">
        <v>1103</v>
      </c>
      <c r="V549" s="79" t="s">
        <v>1075</v>
      </c>
      <c r="W549" s="79" t="s">
        <v>1104</v>
      </c>
      <c r="Y549" s="79" t="s">
        <v>1100</v>
      </c>
    </row>
    <row r="550" spans="2:25" ht="12.75" customHeight="1" x14ac:dyDescent="0.2">
      <c r="B550" s="142" t="s">
        <v>928</v>
      </c>
      <c r="C550" s="142" t="s">
        <v>928</v>
      </c>
      <c r="D550" s="142" t="s">
        <v>927</v>
      </c>
      <c r="E550" s="107" t="str">
        <f t="shared" si="17"/>
        <v>GARRETT, IN, 46738</v>
      </c>
      <c r="F550" s="142" t="s">
        <v>927</v>
      </c>
      <c r="G550" s="142" t="s">
        <v>929</v>
      </c>
      <c r="H550" s="142" t="s">
        <v>2804</v>
      </c>
      <c r="I550" s="142" t="s">
        <v>2764</v>
      </c>
      <c r="J550" s="142" t="s">
        <v>930</v>
      </c>
      <c r="K550" s="142" t="s">
        <v>723</v>
      </c>
      <c r="L550" s="142" t="s">
        <v>931</v>
      </c>
      <c r="N550" s="91">
        <f t="shared" si="18"/>
        <v>1</v>
      </c>
      <c r="O550" s="79" t="s">
        <v>1106</v>
      </c>
      <c r="P550" s="79" t="s">
        <v>1106</v>
      </c>
      <c r="Q550" s="79" t="s">
        <v>1105</v>
      </c>
      <c r="R550" s="79" t="s">
        <v>2772</v>
      </c>
      <c r="S550" s="79" t="s">
        <v>2764</v>
      </c>
      <c r="T550" s="79" t="s">
        <v>1107</v>
      </c>
      <c r="U550" s="79" t="s">
        <v>1108</v>
      </c>
      <c r="V550" s="79" t="s">
        <v>1075</v>
      </c>
      <c r="W550" s="79" t="s">
        <v>1109</v>
      </c>
      <c r="Y550" s="79" t="s">
        <v>1105</v>
      </c>
    </row>
    <row r="551" spans="2:25" ht="12.75" customHeight="1" x14ac:dyDescent="0.2">
      <c r="B551" s="142" t="s">
        <v>3080</v>
      </c>
      <c r="C551" s="142" t="s">
        <v>3080</v>
      </c>
      <c r="D551" s="142" t="s">
        <v>1417</v>
      </c>
      <c r="E551" s="107" t="str">
        <f t="shared" si="17"/>
        <v>PETERSBURG, OH, 44454</v>
      </c>
      <c r="F551" s="142" t="s">
        <v>1417</v>
      </c>
      <c r="G551" s="142" t="s">
        <v>1419</v>
      </c>
      <c r="H551" s="142" t="s">
        <v>2762</v>
      </c>
      <c r="I551" s="142" t="s">
        <v>2769</v>
      </c>
      <c r="J551" s="142" t="s">
        <v>1303</v>
      </c>
      <c r="K551" s="142" t="s">
        <v>707</v>
      </c>
      <c r="L551" s="142" t="s">
        <v>1304</v>
      </c>
      <c r="N551" s="91">
        <f t="shared" si="18"/>
        <v>1</v>
      </c>
      <c r="O551" s="79" t="s">
        <v>1111</v>
      </c>
      <c r="P551" s="79" t="s">
        <v>1111</v>
      </c>
      <c r="Q551" s="79" t="s">
        <v>1110</v>
      </c>
      <c r="R551" s="79" t="s">
        <v>2772</v>
      </c>
      <c r="S551" s="79" t="s">
        <v>2764</v>
      </c>
      <c r="T551" s="79" t="s">
        <v>1107</v>
      </c>
      <c r="U551" s="79" t="s">
        <v>1108</v>
      </c>
      <c r="V551" s="79" t="s">
        <v>1075</v>
      </c>
      <c r="W551" s="79" t="s">
        <v>1109</v>
      </c>
      <c r="Y551" s="79" t="s">
        <v>1110</v>
      </c>
    </row>
    <row r="552" spans="2:25" ht="12.75" customHeight="1" x14ac:dyDescent="0.2">
      <c r="B552" s="142" t="s">
        <v>1200</v>
      </c>
      <c r="C552" s="142" t="s">
        <v>1200</v>
      </c>
      <c r="D552" s="142" t="s">
        <v>1199</v>
      </c>
      <c r="E552" s="107" t="str">
        <f t="shared" si="17"/>
        <v>ANN ARBOR, MI, 48103</v>
      </c>
      <c r="F552" s="142" t="s">
        <v>1199</v>
      </c>
      <c r="G552" s="142" t="s">
        <v>1201</v>
      </c>
      <c r="H552" s="142" t="s">
        <v>2772</v>
      </c>
      <c r="I552" s="142" t="s">
        <v>2764</v>
      </c>
      <c r="J552" s="142" t="s">
        <v>1177</v>
      </c>
      <c r="K552" s="142" t="s">
        <v>1075</v>
      </c>
      <c r="L552" s="142" t="s">
        <v>1202</v>
      </c>
      <c r="N552" s="91">
        <f t="shared" si="18"/>
        <v>1</v>
      </c>
      <c r="O552" s="79" t="s">
        <v>1175</v>
      </c>
      <c r="P552" s="79" t="s">
        <v>1175</v>
      </c>
      <c r="Q552" s="79" t="s">
        <v>1174</v>
      </c>
      <c r="R552" s="79" t="s">
        <v>2772</v>
      </c>
      <c r="S552" s="79" t="s">
        <v>2764</v>
      </c>
      <c r="T552" s="79" t="s">
        <v>1176</v>
      </c>
      <c r="U552" s="79" t="s">
        <v>1177</v>
      </c>
      <c r="V552" s="79" t="s">
        <v>1075</v>
      </c>
      <c r="W552" s="79" t="s">
        <v>1178</v>
      </c>
      <c r="Y552" s="79" t="s">
        <v>1174</v>
      </c>
    </row>
    <row r="553" spans="2:25" ht="12.75" customHeight="1" x14ac:dyDescent="0.2">
      <c r="B553" s="142" t="s">
        <v>1101</v>
      </c>
      <c r="C553" s="142" t="s">
        <v>1101</v>
      </c>
      <c r="D553" s="142" t="s">
        <v>1100</v>
      </c>
      <c r="E553" s="107" t="str">
        <f t="shared" si="17"/>
        <v>HORTON, MI, 49246</v>
      </c>
      <c r="F553" s="142" t="s">
        <v>1100</v>
      </c>
      <c r="G553" s="142" t="s">
        <v>1102</v>
      </c>
      <c r="H553" s="142" t="s">
        <v>2772</v>
      </c>
      <c r="I553" s="142" t="s">
        <v>2764</v>
      </c>
      <c r="J553" s="142" t="s">
        <v>1103</v>
      </c>
      <c r="K553" s="142" t="s">
        <v>1075</v>
      </c>
      <c r="L553" s="142" t="s">
        <v>1104</v>
      </c>
      <c r="N553" s="91">
        <f t="shared" si="18"/>
        <v>1</v>
      </c>
      <c r="O553" s="79" t="s">
        <v>1180</v>
      </c>
      <c r="P553" s="79" t="s">
        <v>1180</v>
      </c>
      <c r="Q553" s="79" t="s">
        <v>1179</v>
      </c>
      <c r="R553" s="79" t="s">
        <v>2772</v>
      </c>
      <c r="S553" s="79" t="s">
        <v>2764</v>
      </c>
      <c r="T553" s="79" t="s">
        <v>1107</v>
      </c>
      <c r="U553" s="79" t="s">
        <v>1108</v>
      </c>
      <c r="V553" s="79" t="s">
        <v>1075</v>
      </c>
      <c r="W553" s="79" t="s">
        <v>1109</v>
      </c>
      <c r="Y553" s="79" t="s">
        <v>1179</v>
      </c>
    </row>
    <row r="554" spans="2:25" ht="12.75" customHeight="1" x14ac:dyDescent="0.2">
      <c r="B554" s="142" t="s">
        <v>1106</v>
      </c>
      <c r="C554" s="142" t="s">
        <v>1106</v>
      </c>
      <c r="D554" s="142" t="s">
        <v>1105</v>
      </c>
      <c r="E554" s="107" t="str">
        <f t="shared" si="17"/>
        <v>OTTAWA LAKE, MI, 49267</v>
      </c>
      <c r="F554" s="142" t="s">
        <v>1105</v>
      </c>
      <c r="G554" s="142" t="s">
        <v>1107</v>
      </c>
      <c r="H554" s="142" t="s">
        <v>2772</v>
      </c>
      <c r="I554" s="142" t="s">
        <v>2764</v>
      </c>
      <c r="J554" s="142" t="s">
        <v>1108</v>
      </c>
      <c r="K554" s="142" t="s">
        <v>1075</v>
      </c>
      <c r="L554" s="142" t="s">
        <v>1109</v>
      </c>
      <c r="N554" s="91">
        <f t="shared" si="18"/>
        <v>1</v>
      </c>
      <c r="O554" s="79" t="s">
        <v>788</v>
      </c>
      <c r="P554" s="79" t="s">
        <v>788</v>
      </c>
      <c r="Q554" s="79" t="s">
        <v>787</v>
      </c>
      <c r="R554" s="79" t="s">
        <v>2804</v>
      </c>
      <c r="S554" s="79" t="s">
        <v>2817</v>
      </c>
      <c r="T554" s="79" t="s">
        <v>789</v>
      </c>
      <c r="U554" s="79" t="s">
        <v>790</v>
      </c>
      <c r="V554" s="79" t="s">
        <v>707</v>
      </c>
      <c r="W554" s="79" t="s">
        <v>791</v>
      </c>
      <c r="Y554" s="79" t="s">
        <v>787</v>
      </c>
    </row>
    <row r="555" spans="2:25" ht="12.75" customHeight="1" x14ac:dyDescent="0.2">
      <c r="B555" s="142" t="s">
        <v>1111</v>
      </c>
      <c r="C555" s="142" t="s">
        <v>1111</v>
      </c>
      <c r="D555" s="142" t="s">
        <v>1110</v>
      </c>
      <c r="E555" s="107" t="str">
        <f t="shared" si="17"/>
        <v>OTTAWA LAKE, MI, 49267</v>
      </c>
      <c r="F555" s="142" t="s">
        <v>1110</v>
      </c>
      <c r="G555" s="142" t="s">
        <v>1107</v>
      </c>
      <c r="H555" s="142" t="s">
        <v>2772</v>
      </c>
      <c r="I555" s="142" t="s">
        <v>2764</v>
      </c>
      <c r="J555" s="142" t="s">
        <v>1108</v>
      </c>
      <c r="K555" s="142" t="s">
        <v>1075</v>
      </c>
      <c r="L555" s="142" t="s">
        <v>1109</v>
      </c>
      <c r="N555" s="91">
        <f t="shared" si="18"/>
        <v>1</v>
      </c>
      <c r="O555" s="79" t="s">
        <v>1736</v>
      </c>
      <c r="P555" s="79" t="s">
        <v>1736</v>
      </c>
      <c r="Q555" s="79" t="s">
        <v>1735</v>
      </c>
      <c r="R555" s="79" t="s">
        <v>2775</v>
      </c>
      <c r="S555" s="79" t="s">
        <v>2854</v>
      </c>
      <c r="T555" s="79" t="s">
        <v>1737</v>
      </c>
      <c r="U555" s="79" t="s">
        <v>1738</v>
      </c>
      <c r="V555" s="79" t="s">
        <v>707</v>
      </c>
      <c r="W555" s="79" t="s">
        <v>1739</v>
      </c>
      <c r="Y555" s="79" t="s">
        <v>1735</v>
      </c>
    </row>
    <row r="556" spans="2:25" ht="12.75" customHeight="1" x14ac:dyDescent="0.2">
      <c r="B556" s="142" t="s">
        <v>1175</v>
      </c>
      <c r="C556" s="142" t="s">
        <v>1175</v>
      </c>
      <c r="D556" s="142" t="s">
        <v>1174</v>
      </c>
      <c r="E556" s="107" t="str">
        <f t="shared" si="17"/>
        <v>ANN ARBOR, MI, 48130</v>
      </c>
      <c r="F556" s="142" t="s">
        <v>1174</v>
      </c>
      <c r="G556" s="142" t="s">
        <v>1176</v>
      </c>
      <c r="H556" s="142" t="s">
        <v>2772</v>
      </c>
      <c r="I556" s="142" t="s">
        <v>2764</v>
      </c>
      <c r="J556" s="142" t="s">
        <v>1177</v>
      </c>
      <c r="K556" s="142" t="s">
        <v>1075</v>
      </c>
      <c r="L556" s="142" t="s">
        <v>1178</v>
      </c>
      <c r="N556" s="91">
        <f t="shared" si="18"/>
        <v>2</v>
      </c>
      <c r="O556" s="79" t="s">
        <v>1736</v>
      </c>
      <c r="P556" s="79" t="s">
        <v>1736</v>
      </c>
      <c r="Q556" s="79" t="s">
        <v>2700</v>
      </c>
      <c r="R556" s="79" t="s">
        <v>2775</v>
      </c>
      <c r="S556" s="79" t="s">
        <v>2854</v>
      </c>
      <c r="T556" s="79" t="s">
        <v>2701</v>
      </c>
      <c r="U556" s="79" t="s">
        <v>1738</v>
      </c>
      <c r="V556" s="79" t="s">
        <v>707</v>
      </c>
      <c r="W556" s="79" t="s">
        <v>1739</v>
      </c>
      <c r="Y556" s="79" t="s">
        <v>2700</v>
      </c>
    </row>
    <row r="557" spans="2:25" ht="12.75" customHeight="1" x14ac:dyDescent="0.2">
      <c r="B557" s="142" t="s">
        <v>1180</v>
      </c>
      <c r="C557" s="142" t="s">
        <v>1180</v>
      </c>
      <c r="D557" s="142" t="s">
        <v>1179</v>
      </c>
      <c r="E557" s="107" t="str">
        <f t="shared" si="17"/>
        <v>OTTAWA LAKE, MI, 49267</v>
      </c>
      <c r="F557" s="142" t="s">
        <v>1179</v>
      </c>
      <c r="G557" s="142" t="s">
        <v>1107</v>
      </c>
      <c r="H557" s="142" t="s">
        <v>2772</v>
      </c>
      <c r="I557" s="142" t="s">
        <v>2764</v>
      </c>
      <c r="J557" s="142" t="s">
        <v>1108</v>
      </c>
      <c r="K557" s="142" t="s">
        <v>1075</v>
      </c>
      <c r="L557" s="142" t="s">
        <v>1109</v>
      </c>
      <c r="N557" s="91">
        <f t="shared" si="18"/>
        <v>3</v>
      </c>
      <c r="O557" s="79" t="s">
        <v>1736</v>
      </c>
      <c r="P557" s="79" t="s">
        <v>1736</v>
      </c>
      <c r="Q557" s="79" t="s">
        <v>2702</v>
      </c>
      <c r="R557" s="79" t="s">
        <v>2775</v>
      </c>
      <c r="S557" s="79" t="s">
        <v>2854</v>
      </c>
      <c r="T557" s="79" t="s">
        <v>2701</v>
      </c>
      <c r="U557" s="79" t="s">
        <v>1738</v>
      </c>
      <c r="V557" s="79" t="s">
        <v>707</v>
      </c>
      <c r="W557" s="79" t="s">
        <v>1739</v>
      </c>
      <c r="Y557" s="79" t="s">
        <v>2702</v>
      </c>
    </row>
    <row r="558" spans="2:25" ht="12.75" customHeight="1" x14ac:dyDescent="0.2">
      <c r="B558" s="142" t="s">
        <v>788</v>
      </c>
      <c r="C558" s="142" t="s">
        <v>788</v>
      </c>
      <c r="D558" s="142" t="s">
        <v>787</v>
      </c>
      <c r="E558" s="107" t="str">
        <f t="shared" si="17"/>
        <v>OAKWOOD, OH, 45873</v>
      </c>
      <c r="F558" s="142" t="s">
        <v>787</v>
      </c>
      <c r="G558" s="142" t="s">
        <v>789</v>
      </c>
      <c r="H558" s="142" t="s">
        <v>2804</v>
      </c>
      <c r="I558" s="142" t="s">
        <v>2817</v>
      </c>
      <c r="J558" s="142" t="s">
        <v>790</v>
      </c>
      <c r="K558" s="142" t="s">
        <v>707</v>
      </c>
      <c r="L558" s="142" t="s">
        <v>791</v>
      </c>
      <c r="N558" s="91">
        <f t="shared" si="18"/>
        <v>1</v>
      </c>
      <c r="O558" s="79" t="s">
        <v>1046</v>
      </c>
      <c r="P558" s="79" t="s">
        <v>1046</v>
      </c>
      <c r="Q558" s="79" t="s">
        <v>1045</v>
      </c>
      <c r="R558" s="79" t="s">
        <v>2772</v>
      </c>
      <c r="S558" s="79" t="s">
        <v>2803</v>
      </c>
      <c r="T558" s="79" t="s">
        <v>1047</v>
      </c>
      <c r="U558" s="79" t="s">
        <v>1048</v>
      </c>
      <c r="V558" s="79" t="s">
        <v>707</v>
      </c>
      <c r="W558" s="79" t="s">
        <v>1049</v>
      </c>
      <c r="Y558" s="79" t="s">
        <v>1045</v>
      </c>
    </row>
    <row r="559" spans="2:25" ht="12.75" customHeight="1" x14ac:dyDescent="0.2">
      <c r="B559" s="142" t="s">
        <v>1736</v>
      </c>
      <c r="C559" s="142" t="s">
        <v>1736</v>
      </c>
      <c r="D559" s="142" t="s">
        <v>1735</v>
      </c>
      <c r="E559" s="107" t="str">
        <f t="shared" si="17"/>
        <v>CELINA, OH, 45822</v>
      </c>
      <c r="F559" s="142" t="s">
        <v>1735</v>
      </c>
      <c r="G559" s="142" t="s">
        <v>1737</v>
      </c>
      <c r="H559" s="142" t="s">
        <v>2775</v>
      </c>
      <c r="I559" s="142" t="s">
        <v>2854</v>
      </c>
      <c r="J559" s="142" t="s">
        <v>1738</v>
      </c>
      <c r="K559" s="142" t="s">
        <v>707</v>
      </c>
      <c r="L559" s="142" t="s">
        <v>1739</v>
      </c>
      <c r="N559" s="91">
        <f t="shared" si="18"/>
        <v>1</v>
      </c>
      <c r="O559" s="79" t="s">
        <v>1060</v>
      </c>
      <c r="P559" s="79" t="s">
        <v>1060</v>
      </c>
      <c r="Q559" s="79" t="s">
        <v>1059</v>
      </c>
      <c r="R559" s="79" t="s">
        <v>2759</v>
      </c>
      <c r="S559" s="79" t="s">
        <v>2760</v>
      </c>
      <c r="T559" s="79" t="s">
        <v>842</v>
      </c>
      <c r="U559" s="79" t="s">
        <v>843</v>
      </c>
      <c r="V559" s="79" t="s">
        <v>707</v>
      </c>
      <c r="W559" s="79" t="s">
        <v>844</v>
      </c>
      <c r="Y559" s="79" t="s">
        <v>1059</v>
      </c>
    </row>
    <row r="560" spans="2:25" ht="12.75" customHeight="1" x14ac:dyDescent="0.2">
      <c r="B560" s="107" t="s">
        <v>1736</v>
      </c>
      <c r="C560" s="107" t="s">
        <v>1736</v>
      </c>
      <c r="D560" s="107" t="s">
        <v>2700</v>
      </c>
      <c r="E560" s="107" t="str">
        <f t="shared" si="17"/>
        <v>CELINA, OH, 45822</v>
      </c>
      <c r="F560" s="107" t="s">
        <v>2700</v>
      </c>
      <c r="G560" s="107" t="s">
        <v>2701</v>
      </c>
      <c r="H560" s="107" t="s">
        <v>2775</v>
      </c>
      <c r="I560" s="107" t="s">
        <v>2854</v>
      </c>
      <c r="J560" s="107" t="s">
        <v>1738</v>
      </c>
      <c r="K560" s="107" t="s">
        <v>707</v>
      </c>
      <c r="L560" s="107" t="s">
        <v>1739</v>
      </c>
      <c r="N560" s="91">
        <f t="shared" si="18"/>
        <v>1</v>
      </c>
      <c r="O560" s="79" t="s">
        <v>1053</v>
      </c>
      <c r="P560" s="79" t="s">
        <v>1053</v>
      </c>
      <c r="Q560" s="79" t="s">
        <v>1052</v>
      </c>
      <c r="R560" s="79" t="s">
        <v>2762</v>
      </c>
      <c r="S560" s="79" t="s">
        <v>2766</v>
      </c>
      <c r="T560" s="79" t="s">
        <v>1054</v>
      </c>
      <c r="U560" s="79" t="s">
        <v>817</v>
      </c>
      <c r="V560" s="79" t="s">
        <v>707</v>
      </c>
      <c r="W560" s="79" t="s">
        <v>818</v>
      </c>
      <c r="Y560" s="79" t="s">
        <v>1052</v>
      </c>
    </row>
    <row r="561" spans="2:25" ht="12.75" customHeight="1" x14ac:dyDescent="0.2">
      <c r="B561" s="107" t="s">
        <v>1736</v>
      </c>
      <c r="C561" s="107" t="s">
        <v>1736</v>
      </c>
      <c r="D561" s="107" t="s">
        <v>2702</v>
      </c>
      <c r="E561" s="107" t="str">
        <f t="shared" si="17"/>
        <v>CELINA, OH, 45822</v>
      </c>
      <c r="F561" s="107" t="s">
        <v>2702</v>
      </c>
      <c r="G561" s="107" t="s">
        <v>2701</v>
      </c>
      <c r="H561" s="107" t="s">
        <v>2775</v>
      </c>
      <c r="I561" s="107" t="s">
        <v>2854</v>
      </c>
      <c r="J561" s="107" t="s">
        <v>1738</v>
      </c>
      <c r="K561" s="107" t="s">
        <v>707</v>
      </c>
      <c r="L561" s="107" t="s">
        <v>1739</v>
      </c>
      <c r="N561" s="91">
        <f t="shared" si="18"/>
        <v>1</v>
      </c>
      <c r="O561" s="79" t="s">
        <v>1058</v>
      </c>
      <c r="P561" s="79" t="s">
        <v>1058</v>
      </c>
      <c r="Q561" s="79" t="s">
        <v>1057</v>
      </c>
      <c r="R561" s="79" t="s">
        <v>2762</v>
      </c>
      <c r="S561" s="79" t="s">
        <v>2763</v>
      </c>
      <c r="T561" s="79" t="s">
        <v>826</v>
      </c>
      <c r="U561" s="79" t="s">
        <v>827</v>
      </c>
      <c r="V561" s="79" t="s">
        <v>707</v>
      </c>
      <c r="W561" s="79" t="s">
        <v>828</v>
      </c>
      <c r="Y561" s="79" t="s">
        <v>1057</v>
      </c>
    </row>
    <row r="562" spans="2:25" ht="12.75" customHeight="1" x14ac:dyDescent="0.2">
      <c r="B562" s="142" t="s">
        <v>1046</v>
      </c>
      <c r="C562" s="142" t="s">
        <v>1046</v>
      </c>
      <c r="D562" s="142" t="s">
        <v>1045</v>
      </c>
      <c r="E562" s="107" t="str">
        <f t="shared" si="17"/>
        <v>CLAY CENTER, OH, 43408</v>
      </c>
      <c r="F562" s="142" t="s">
        <v>1045</v>
      </c>
      <c r="G562" s="142" t="s">
        <v>1047</v>
      </c>
      <c r="H562" s="142" t="s">
        <v>2772</v>
      </c>
      <c r="I562" s="142" t="s">
        <v>2803</v>
      </c>
      <c r="J562" s="142" t="s">
        <v>1048</v>
      </c>
      <c r="K562" s="142" t="s">
        <v>707</v>
      </c>
      <c r="L562" s="142" t="s">
        <v>1049</v>
      </c>
      <c r="N562" s="91">
        <f t="shared" si="18"/>
        <v>1</v>
      </c>
      <c r="O562" s="79" t="s">
        <v>1056</v>
      </c>
      <c r="P562" s="79" t="s">
        <v>1056</v>
      </c>
      <c r="Q562" s="79" t="s">
        <v>1055</v>
      </c>
      <c r="R562" s="79" t="s">
        <v>2762</v>
      </c>
      <c r="S562" s="79" t="s">
        <v>2774</v>
      </c>
      <c r="T562" s="79" t="s">
        <v>821</v>
      </c>
      <c r="U562" s="79" t="s">
        <v>822</v>
      </c>
      <c r="V562" s="79" t="s">
        <v>707</v>
      </c>
      <c r="W562" s="79" t="s">
        <v>823</v>
      </c>
      <c r="Y562" s="79" t="s">
        <v>1055</v>
      </c>
    </row>
    <row r="563" spans="2:25" ht="12.75" customHeight="1" x14ac:dyDescent="0.2">
      <c r="B563" s="142" t="s">
        <v>1060</v>
      </c>
      <c r="C563" s="142" t="s">
        <v>1060</v>
      </c>
      <c r="D563" s="142" t="s">
        <v>1059</v>
      </c>
      <c r="E563" s="107" t="str">
        <f t="shared" si="17"/>
        <v>CLEVELAND, OH, 44135</v>
      </c>
      <c r="F563" s="142" t="s">
        <v>1059</v>
      </c>
      <c r="G563" s="142" t="s">
        <v>842</v>
      </c>
      <c r="H563" s="142" t="s">
        <v>2759</v>
      </c>
      <c r="I563" s="142" t="s">
        <v>2760</v>
      </c>
      <c r="J563" s="142" t="s">
        <v>843</v>
      </c>
      <c r="K563" s="142" t="s">
        <v>707</v>
      </c>
      <c r="L563" s="142" t="s">
        <v>844</v>
      </c>
      <c r="N563" s="91">
        <f t="shared" si="18"/>
        <v>1</v>
      </c>
      <c r="O563" s="79" t="s">
        <v>1051</v>
      </c>
      <c r="P563" s="79" t="s">
        <v>1051</v>
      </c>
      <c r="Q563" s="79" t="s">
        <v>1050</v>
      </c>
      <c r="R563" s="79" t="s">
        <v>2762</v>
      </c>
      <c r="S563" s="79" t="s">
        <v>2763</v>
      </c>
      <c r="T563" s="79" t="s">
        <v>997</v>
      </c>
      <c r="U563" s="79" t="s">
        <v>998</v>
      </c>
      <c r="V563" s="79" t="s">
        <v>707</v>
      </c>
      <c r="W563" s="79" t="s">
        <v>999</v>
      </c>
      <c r="Y563" s="79" t="s">
        <v>1050</v>
      </c>
    </row>
    <row r="564" spans="2:25" ht="12.75" customHeight="1" x14ac:dyDescent="0.2">
      <c r="B564" s="142" t="s">
        <v>1053</v>
      </c>
      <c r="C564" s="142" t="s">
        <v>1053</v>
      </c>
      <c r="D564" s="142" t="s">
        <v>1052</v>
      </c>
      <c r="E564" s="107" t="str">
        <f t="shared" si="17"/>
        <v>ALLIANCE, OH, 44601</v>
      </c>
      <c r="F564" s="142" t="s">
        <v>1052</v>
      </c>
      <c r="G564" s="142" t="s">
        <v>1054</v>
      </c>
      <c r="H564" s="142" t="s">
        <v>2762</v>
      </c>
      <c r="I564" s="142" t="s">
        <v>2766</v>
      </c>
      <c r="J564" s="142" t="s">
        <v>817</v>
      </c>
      <c r="K564" s="142" t="s">
        <v>707</v>
      </c>
      <c r="L564" s="142" t="s">
        <v>818</v>
      </c>
      <c r="N564" s="91">
        <f t="shared" si="18"/>
        <v>1</v>
      </c>
      <c r="O564" s="79" t="s">
        <v>938</v>
      </c>
      <c r="P564" s="79" t="s">
        <v>938</v>
      </c>
      <c r="Q564" s="79" t="s">
        <v>937</v>
      </c>
      <c r="R564" s="79" t="s">
        <v>2772</v>
      </c>
      <c r="S564" s="79" t="s">
        <v>2806</v>
      </c>
      <c r="T564" s="79" t="s">
        <v>939</v>
      </c>
      <c r="U564" s="79" t="s">
        <v>940</v>
      </c>
      <c r="V564" s="79" t="s">
        <v>707</v>
      </c>
      <c r="W564" s="79" t="s">
        <v>941</v>
      </c>
      <c r="Y564" s="79" t="s">
        <v>937</v>
      </c>
    </row>
    <row r="565" spans="2:25" ht="12.75" customHeight="1" x14ac:dyDescent="0.2">
      <c r="B565" s="142" t="s">
        <v>1058</v>
      </c>
      <c r="C565" s="142" t="s">
        <v>1058</v>
      </c>
      <c r="D565" s="142" t="s">
        <v>1057</v>
      </c>
      <c r="E565" s="107" t="str">
        <f t="shared" si="17"/>
        <v>COPLEY, OH, 44321</v>
      </c>
      <c r="F565" s="142" t="s">
        <v>1057</v>
      </c>
      <c r="G565" s="142" t="s">
        <v>826</v>
      </c>
      <c r="H565" s="142" t="s">
        <v>2762</v>
      </c>
      <c r="I565" s="142" t="s">
        <v>2763</v>
      </c>
      <c r="J565" s="142" t="s">
        <v>827</v>
      </c>
      <c r="K565" s="142" t="s">
        <v>707</v>
      </c>
      <c r="L565" s="142" t="s">
        <v>828</v>
      </c>
      <c r="N565" s="91">
        <f t="shared" si="18"/>
        <v>1</v>
      </c>
      <c r="O565" s="79" t="s">
        <v>1083</v>
      </c>
      <c r="P565" s="79" t="s">
        <v>1083</v>
      </c>
      <c r="Q565" s="79" t="s">
        <v>1082</v>
      </c>
      <c r="R565" s="79" t="s">
        <v>2772</v>
      </c>
      <c r="S565" s="79" t="s">
        <v>2788</v>
      </c>
      <c r="T565" s="79" t="s">
        <v>1084</v>
      </c>
      <c r="U565" s="79" t="s">
        <v>1085</v>
      </c>
      <c r="V565" s="79" t="s">
        <v>707</v>
      </c>
      <c r="W565" s="79" t="s">
        <v>1086</v>
      </c>
      <c r="Y565" s="79" t="s">
        <v>1082</v>
      </c>
    </row>
    <row r="566" spans="2:25" ht="12.75" customHeight="1" x14ac:dyDescent="0.2">
      <c r="B566" s="142" t="s">
        <v>1056</v>
      </c>
      <c r="C566" s="142" t="s">
        <v>1056</v>
      </c>
      <c r="D566" s="142" t="s">
        <v>1055</v>
      </c>
      <c r="E566" s="107" t="str">
        <f t="shared" si="17"/>
        <v>KENT, OH, 44240</v>
      </c>
      <c r="F566" s="142" t="s">
        <v>1055</v>
      </c>
      <c r="G566" s="142" t="s">
        <v>821</v>
      </c>
      <c r="H566" s="142" t="s">
        <v>2762</v>
      </c>
      <c r="I566" s="142" t="s">
        <v>2774</v>
      </c>
      <c r="J566" s="142" t="s">
        <v>822</v>
      </c>
      <c r="K566" s="142" t="s">
        <v>707</v>
      </c>
      <c r="L566" s="142" t="s">
        <v>823</v>
      </c>
      <c r="N566" s="91">
        <f t="shared" si="18"/>
        <v>2</v>
      </c>
      <c r="O566" s="79" t="s">
        <v>1083</v>
      </c>
      <c r="P566" s="79" t="s">
        <v>1083</v>
      </c>
      <c r="Q566" s="79" t="s">
        <v>2595</v>
      </c>
      <c r="R566" s="79" t="s">
        <v>2772</v>
      </c>
      <c r="S566" s="79" t="s">
        <v>2788</v>
      </c>
      <c r="T566" s="79" t="s">
        <v>1084</v>
      </c>
      <c r="U566" s="79" t="s">
        <v>1085</v>
      </c>
      <c r="V566" s="79" t="s">
        <v>707</v>
      </c>
      <c r="W566" s="79" t="s">
        <v>1086</v>
      </c>
      <c r="Y566" s="79" t="s">
        <v>2595</v>
      </c>
    </row>
    <row r="567" spans="2:25" ht="12.75" customHeight="1" x14ac:dyDescent="0.2">
      <c r="B567" s="142" t="s">
        <v>1051</v>
      </c>
      <c r="C567" s="142" t="s">
        <v>1051</v>
      </c>
      <c r="D567" s="142" t="s">
        <v>1050</v>
      </c>
      <c r="E567" s="107" t="str">
        <f t="shared" si="17"/>
        <v>TWINSBURG, OH, 44087</v>
      </c>
      <c r="F567" s="142" t="s">
        <v>1050</v>
      </c>
      <c r="G567" s="142" t="s">
        <v>997</v>
      </c>
      <c r="H567" s="142" t="s">
        <v>2762</v>
      </c>
      <c r="I567" s="142" t="s">
        <v>2763</v>
      </c>
      <c r="J567" s="142" t="s">
        <v>998</v>
      </c>
      <c r="K567" s="142" t="s">
        <v>707</v>
      </c>
      <c r="L567" s="142" t="s">
        <v>999</v>
      </c>
      <c r="N567" s="91">
        <f t="shared" si="18"/>
        <v>1</v>
      </c>
      <c r="O567" s="79" t="s">
        <v>943</v>
      </c>
      <c r="P567" s="79" t="s">
        <v>943</v>
      </c>
      <c r="Q567" s="79" t="s">
        <v>942</v>
      </c>
      <c r="R567" s="79" t="s">
        <v>2772</v>
      </c>
      <c r="S567" s="79" t="s">
        <v>2806</v>
      </c>
      <c r="T567" s="79" t="s">
        <v>944</v>
      </c>
      <c r="U567" s="79" t="s">
        <v>945</v>
      </c>
      <c r="V567" s="79" t="s">
        <v>707</v>
      </c>
      <c r="W567" s="79" t="s">
        <v>946</v>
      </c>
      <c r="Y567" s="79" t="s">
        <v>942</v>
      </c>
    </row>
    <row r="568" spans="2:25" ht="12.75" customHeight="1" x14ac:dyDescent="0.2">
      <c r="B568" s="142" t="s">
        <v>1083</v>
      </c>
      <c r="C568" s="142" t="s">
        <v>1083</v>
      </c>
      <c r="D568" s="142" t="s">
        <v>1082</v>
      </c>
      <c r="E568" s="107" t="str">
        <f t="shared" si="17"/>
        <v>MAUMEE, OH, 43537</v>
      </c>
      <c r="F568" s="142" t="s">
        <v>1082</v>
      </c>
      <c r="G568" s="142" t="s">
        <v>1084</v>
      </c>
      <c r="H568" s="142" t="s">
        <v>2772</v>
      </c>
      <c r="I568" s="142" t="s">
        <v>2788</v>
      </c>
      <c r="J568" s="142" t="s">
        <v>1085</v>
      </c>
      <c r="K568" s="142" t="s">
        <v>707</v>
      </c>
      <c r="L568" s="142" t="s">
        <v>1086</v>
      </c>
      <c r="N568" s="91">
        <f t="shared" si="18"/>
        <v>1</v>
      </c>
      <c r="O568" s="79" t="s">
        <v>793</v>
      </c>
      <c r="P568" s="79" t="s">
        <v>793</v>
      </c>
      <c r="Q568" s="79" t="s">
        <v>792</v>
      </c>
      <c r="R568" s="79" t="s">
        <v>2804</v>
      </c>
      <c r="S568" s="79" t="s">
        <v>2845</v>
      </c>
      <c r="T568" s="79" t="s">
        <v>794</v>
      </c>
      <c r="U568" s="79" t="s">
        <v>795</v>
      </c>
      <c r="V568" s="79" t="s">
        <v>707</v>
      </c>
      <c r="W568" s="79" t="s">
        <v>796</v>
      </c>
      <c r="Y568" s="79" t="s">
        <v>792</v>
      </c>
    </row>
    <row r="569" spans="2:25" ht="12.75" customHeight="1" x14ac:dyDescent="0.2">
      <c r="B569" s="142" t="s">
        <v>1083</v>
      </c>
      <c r="C569" s="142" t="s">
        <v>1083</v>
      </c>
      <c r="D569" s="142" t="s">
        <v>2595</v>
      </c>
      <c r="E569" s="107" t="str">
        <f t="shared" si="17"/>
        <v>MAUMEE, OH, 43537</v>
      </c>
      <c r="F569" s="142" t="s">
        <v>2595</v>
      </c>
      <c r="G569" s="142" t="s">
        <v>1084</v>
      </c>
      <c r="H569" s="142" t="s">
        <v>2772</v>
      </c>
      <c r="I569" s="142" t="s">
        <v>2788</v>
      </c>
      <c r="J569" s="142" t="s">
        <v>1085</v>
      </c>
      <c r="K569" s="142" t="s">
        <v>707</v>
      </c>
      <c r="L569" s="142" t="s">
        <v>1086</v>
      </c>
      <c r="N569" s="91">
        <f t="shared" si="18"/>
        <v>1</v>
      </c>
      <c r="O569" s="79" t="s">
        <v>806</v>
      </c>
      <c r="P569" s="79" t="s">
        <v>806</v>
      </c>
      <c r="Q569" s="79" t="s">
        <v>805</v>
      </c>
      <c r="R569" s="79" t="s">
        <v>2762</v>
      </c>
      <c r="S569" s="79" t="s">
        <v>2769</v>
      </c>
      <c r="T569" s="79" t="s">
        <v>807</v>
      </c>
      <c r="U569" s="79" t="s">
        <v>808</v>
      </c>
      <c r="V569" s="79" t="s">
        <v>707</v>
      </c>
      <c r="W569" s="79" t="s">
        <v>809</v>
      </c>
      <c r="Y569" s="79" t="s">
        <v>805</v>
      </c>
    </row>
    <row r="570" spans="2:25" ht="12.75" customHeight="1" x14ac:dyDescent="0.2">
      <c r="B570" s="142" t="s">
        <v>943</v>
      </c>
      <c r="C570" s="142" t="s">
        <v>943</v>
      </c>
      <c r="D570" s="142" t="s">
        <v>942</v>
      </c>
      <c r="E570" s="107" t="str">
        <f t="shared" si="17"/>
        <v>PORTAGE, OH, 43451</v>
      </c>
      <c r="F570" s="142" t="s">
        <v>942</v>
      </c>
      <c r="G570" s="142" t="s">
        <v>944</v>
      </c>
      <c r="H570" s="142" t="s">
        <v>2772</v>
      </c>
      <c r="I570" s="142" t="s">
        <v>2806</v>
      </c>
      <c r="J570" s="142" t="s">
        <v>945</v>
      </c>
      <c r="K570" s="142" t="s">
        <v>707</v>
      </c>
      <c r="L570" s="142" t="s">
        <v>946</v>
      </c>
      <c r="N570" s="91">
        <f t="shared" si="18"/>
        <v>1</v>
      </c>
      <c r="O570" s="79" t="s">
        <v>838</v>
      </c>
      <c r="P570" s="79" t="s">
        <v>838</v>
      </c>
      <c r="Q570" s="79" t="s">
        <v>837</v>
      </c>
      <c r="R570" s="79" t="s">
        <v>2767</v>
      </c>
      <c r="S570" s="79" t="s">
        <v>2768</v>
      </c>
      <c r="T570" s="79" t="s">
        <v>839</v>
      </c>
      <c r="U570" s="79" t="s">
        <v>835</v>
      </c>
      <c r="V570" s="79" t="s">
        <v>707</v>
      </c>
      <c r="W570" s="79" t="s">
        <v>836</v>
      </c>
      <c r="Y570" s="79" t="s">
        <v>837</v>
      </c>
    </row>
    <row r="571" spans="2:25" ht="12.75" customHeight="1" x14ac:dyDescent="0.2">
      <c r="B571" s="142" t="s">
        <v>793</v>
      </c>
      <c r="C571" s="142" t="s">
        <v>793</v>
      </c>
      <c r="D571" s="142" t="s">
        <v>792</v>
      </c>
      <c r="E571" s="107" t="str">
        <f t="shared" si="17"/>
        <v>CONVOY, OH, 45832</v>
      </c>
      <c r="F571" s="142" t="s">
        <v>792</v>
      </c>
      <c r="G571" s="142" t="s">
        <v>794</v>
      </c>
      <c r="H571" s="142" t="s">
        <v>2804</v>
      </c>
      <c r="I571" s="142" t="s">
        <v>2845</v>
      </c>
      <c r="J571" s="142" t="s">
        <v>795</v>
      </c>
      <c r="K571" s="142" t="s">
        <v>707</v>
      </c>
      <c r="L571" s="142" t="s">
        <v>796</v>
      </c>
      <c r="N571" s="91">
        <f t="shared" si="18"/>
        <v>1</v>
      </c>
      <c r="O571" s="79" t="s">
        <v>1486</v>
      </c>
      <c r="P571" s="79" t="s">
        <v>1486</v>
      </c>
      <c r="Q571" s="79" t="s">
        <v>1485</v>
      </c>
      <c r="R571" s="79" t="s">
        <v>2791</v>
      </c>
      <c r="S571" s="79" t="s">
        <v>1489</v>
      </c>
      <c r="T571" s="79" t="s">
        <v>1487</v>
      </c>
      <c r="U571" s="79" t="s">
        <v>1488</v>
      </c>
      <c r="V571" s="79" t="s">
        <v>1489</v>
      </c>
      <c r="W571" s="79" t="s">
        <v>1490</v>
      </c>
      <c r="Y571" s="79" t="s">
        <v>1485</v>
      </c>
    </row>
    <row r="572" spans="2:25" ht="12.75" customHeight="1" x14ac:dyDescent="0.2">
      <c r="B572" s="142" t="s">
        <v>838</v>
      </c>
      <c r="C572" s="142" t="s">
        <v>838</v>
      </c>
      <c r="D572" s="142" t="s">
        <v>837</v>
      </c>
      <c r="E572" s="107" t="str">
        <f t="shared" si="17"/>
        <v>MEDINA, OH, 44256</v>
      </c>
      <c r="F572" s="142" t="s">
        <v>837</v>
      </c>
      <c r="G572" s="142" t="s">
        <v>839</v>
      </c>
      <c r="H572" s="142" t="s">
        <v>2767</v>
      </c>
      <c r="I572" s="142" t="s">
        <v>2768</v>
      </c>
      <c r="J572" s="142" t="s">
        <v>835</v>
      </c>
      <c r="K572" s="142" t="s">
        <v>707</v>
      </c>
      <c r="L572" s="142" t="s">
        <v>836</v>
      </c>
      <c r="N572" s="91">
        <f t="shared" si="18"/>
        <v>1</v>
      </c>
      <c r="O572" s="79" t="s">
        <v>1479</v>
      </c>
      <c r="P572" s="79" t="s">
        <v>1479</v>
      </c>
      <c r="Q572" s="79" t="s">
        <v>1478</v>
      </c>
      <c r="R572" s="79" t="s">
        <v>2762</v>
      </c>
      <c r="S572" s="79" t="s">
        <v>2769</v>
      </c>
      <c r="T572" s="79" t="s">
        <v>1480</v>
      </c>
      <c r="U572" s="79" t="s">
        <v>1303</v>
      </c>
      <c r="V572" s="79" t="s">
        <v>707</v>
      </c>
      <c r="W572" s="79" t="s">
        <v>1304</v>
      </c>
      <c r="Y572" s="79" t="s">
        <v>1478</v>
      </c>
    </row>
    <row r="573" spans="2:25" ht="12.75" customHeight="1" x14ac:dyDescent="0.2">
      <c r="B573" s="142" t="s">
        <v>1486</v>
      </c>
      <c r="C573" s="142" t="s">
        <v>1486</v>
      </c>
      <c r="D573" s="142" t="s">
        <v>1485</v>
      </c>
      <c r="E573" s="107" t="str">
        <f t="shared" si="17"/>
        <v>WEIRTON, WV, 26062</v>
      </c>
      <c r="F573" s="142" t="s">
        <v>1485</v>
      </c>
      <c r="G573" s="142" t="s">
        <v>1487</v>
      </c>
      <c r="H573" s="142" t="s">
        <v>2791</v>
      </c>
      <c r="I573" s="142" t="s">
        <v>1489</v>
      </c>
      <c r="J573" s="142" t="s">
        <v>1488</v>
      </c>
      <c r="K573" s="142" t="s">
        <v>1489</v>
      </c>
      <c r="L573" s="142" t="s">
        <v>1490</v>
      </c>
      <c r="N573" s="91">
        <f t="shared" si="18"/>
        <v>2</v>
      </c>
      <c r="O573" s="79" t="s">
        <v>1479</v>
      </c>
      <c r="P573" s="79" t="s">
        <v>1479</v>
      </c>
      <c r="Q573" s="79" t="s">
        <v>2670</v>
      </c>
      <c r="R573" s="79" t="s">
        <v>2762</v>
      </c>
      <c r="S573" s="79" t="s">
        <v>2769</v>
      </c>
      <c r="T573" s="79" t="s">
        <v>1480</v>
      </c>
      <c r="U573" s="79" t="s">
        <v>1303</v>
      </c>
      <c r="V573" s="79" t="s">
        <v>707</v>
      </c>
      <c r="W573" s="79" t="s">
        <v>1304</v>
      </c>
      <c r="Y573" s="79" t="s">
        <v>2670</v>
      </c>
    </row>
    <row r="574" spans="2:25" ht="12.75" customHeight="1" x14ac:dyDescent="0.2">
      <c r="B574" s="142" t="s">
        <v>1479</v>
      </c>
      <c r="C574" s="142" t="s">
        <v>1479</v>
      </c>
      <c r="D574" s="142" t="s">
        <v>1478</v>
      </c>
      <c r="E574" s="107" t="str">
        <f t="shared" si="17"/>
        <v>PETERSBURG, OH, 44454</v>
      </c>
      <c r="F574" s="142" t="s">
        <v>1478</v>
      </c>
      <c r="G574" s="142" t="s">
        <v>1480</v>
      </c>
      <c r="H574" s="142" t="s">
        <v>2762</v>
      </c>
      <c r="I574" s="142" t="s">
        <v>2769</v>
      </c>
      <c r="J574" s="142" t="s">
        <v>1303</v>
      </c>
      <c r="K574" s="142" t="s">
        <v>707</v>
      </c>
      <c r="L574" s="142" t="s">
        <v>1304</v>
      </c>
      <c r="N574" s="91">
        <f t="shared" si="18"/>
        <v>1</v>
      </c>
      <c r="O574" s="79" t="s">
        <v>1484</v>
      </c>
      <c r="P574" s="79" t="s">
        <v>1484</v>
      </c>
      <c r="Q574" s="79" t="s">
        <v>1483</v>
      </c>
      <c r="R574" s="79" t="s">
        <v>2762</v>
      </c>
      <c r="S574" s="79" t="s">
        <v>2769</v>
      </c>
      <c r="T574" s="79" t="s">
        <v>1322</v>
      </c>
      <c r="U574" s="79" t="s">
        <v>1323</v>
      </c>
      <c r="V574" s="79" t="s">
        <v>707</v>
      </c>
      <c r="W574" s="79" t="s">
        <v>1324</v>
      </c>
      <c r="Y574" s="79" t="s">
        <v>1483</v>
      </c>
    </row>
    <row r="575" spans="2:25" ht="12.75" customHeight="1" x14ac:dyDescent="0.2">
      <c r="B575" s="107" t="s">
        <v>1479</v>
      </c>
      <c r="C575" s="107" t="s">
        <v>1479</v>
      </c>
      <c r="D575" s="107" t="s">
        <v>2670</v>
      </c>
      <c r="E575" s="107" t="str">
        <f t="shared" si="17"/>
        <v>PETERSBURG, OH, 44454</v>
      </c>
      <c r="F575" s="107" t="s">
        <v>2670</v>
      </c>
      <c r="G575" s="107" t="s">
        <v>1480</v>
      </c>
      <c r="H575" s="107" t="s">
        <v>2762</v>
      </c>
      <c r="I575" s="107" t="s">
        <v>2769</v>
      </c>
      <c r="J575" s="107" t="s">
        <v>1303</v>
      </c>
      <c r="K575" s="107" t="s">
        <v>707</v>
      </c>
      <c r="L575" s="107" t="s">
        <v>1304</v>
      </c>
      <c r="N575" s="91">
        <f t="shared" si="18"/>
        <v>1</v>
      </c>
      <c r="O575" s="79" t="s">
        <v>1482</v>
      </c>
      <c r="P575" s="79" t="s">
        <v>1482</v>
      </c>
      <c r="Q575" s="79" t="s">
        <v>1481</v>
      </c>
      <c r="R575" s="79" t="s">
        <v>2762</v>
      </c>
      <c r="S575" s="79" t="s">
        <v>2769</v>
      </c>
      <c r="T575" s="79" t="s">
        <v>807</v>
      </c>
      <c r="U575" s="79" t="s">
        <v>808</v>
      </c>
      <c r="V575" s="79" t="s">
        <v>707</v>
      </c>
      <c r="W575" s="79" t="s">
        <v>809</v>
      </c>
      <c r="Y575" s="79" t="s">
        <v>1481</v>
      </c>
    </row>
    <row r="576" spans="2:25" ht="12.75" customHeight="1" x14ac:dyDescent="0.2">
      <c r="B576" s="142" t="s">
        <v>1484</v>
      </c>
      <c r="C576" s="142" t="s">
        <v>1484</v>
      </c>
      <c r="D576" s="142" t="s">
        <v>1483</v>
      </c>
      <c r="E576" s="107" t="str">
        <f t="shared" si="17"/>
        <v>NORTH JACKSON, OH, 44451</v>
      </c>
      <c r="F576" s="142" t="s">
        <v>1483</v>
      </c>
      <c r="G576" s="142" t="s">
        <v>1322</v>
      </c>
      <c r="H576" s="142" t="s">
        <v>2762</v>
      </c>
      <c r="I576" s="142" t="s">
        <v>2769</v>
      </c>
      <c r="J576" s="142" t="s">
        <v>1323</v>
      </c>
      <c r="K576" s="142" t="s">
        <v>707</v>
      </c>
      <c r="L576" s="142" t="s">
        <v>1324</v>
      </c>
      <c r="N576" s="91">
        <f t="shared" si="18"/>
        <v>1</v>
      </c>
      <c r="O576" s="79" t="s">
        <v>1504</v>
      </c>
      <c r="P576" s="79" t="s">
        <v>1504</v>
      </c>
      <c r="Q576" s="79" t="s">
        <v>1503</v>
      </c>
      <c r="R576" s="79" t="s">
        <v>2762</v>
      </c>
      <c r="S576" s="79" t="s">
        <v>2774</v>
      </c>
      <c r="T576" s="79" t="s">
        <v>1505</v>
      </c>
      <c r="U576" s="79" t="s">
        <v>1501</v>
      </c>
      <c r="V576" s="79" t="s">
        <v>707</v>
      </c>
      <c r="W576" s="79" t="s">
        <v>1506</v>
      </c>
      <c r="Y576" s="79" t="s">
        <v>1503</v>
      </c>
    </row>
    <row r="577" spans="2:25" ht="12.75" customHeight="1" x14ac:dyDescent="0.2">
      <c r="B577" s="142" t="s">
        <v>1504</v>
      </c>
      <c r="C577" s="142" t="s">
        <v>1504</v>
      </c>
      <c r="D577" s="142" t="s">
        <v>1503</v>
      </c>
      <c r="E577" s="107" t="str">
        <f t="shared" si="17"/>
        <v>MOGADORE, OH, 44620</v>
      </c>
      <c r="F577" s="142" t="s">
        <v>1503</v>
      </c>
      <c r="G577" s="142" t="s">
        <v>3092</v>
      </c>
      <c r="H577" s="142" t="s">
        <v>2762</v>
      </c>
      <c r="I577" s="142" t="s">
        <v>2774</v>
      </c>
      <c r="J577" s="142" t="s">
        <v>1501</v>
      </c>
      <c r="K577" s="142" t="s">
        <v>707</v>
      </c>
      <c r="L577" s="142" t="s">
        <v>1506</v>
      </c>
      <c r="N577" s="91">
        <f t="shared" si="18"/>
        <v>1</v>
      </c>
      <c r="O577" s="79" t="s">
        <v>1429</v>
      </c>
      <c r="P577" s="79" t="s">
        <v>1429</v>
      </c>
      <c r="Q577" s="79" t="s">
        <v>1428</v>
      </c>
      <c r="R577" s="79" t="s">
        <v>2762</v>
      </c>
      <c r="S577" s="79" t="s">
        <v>2764</v>
      </c>
      <c r="T577" s="79" t="s">
        <v>1430</v>
      </c>
      <c r="U577" s="79" t="s">
        <v>1431</v>
      </c>
      <c r="V577" s="79" t="s">
        <v>898</v>
      </c>
      <c r="W577" s="79" t="s">
        <v>1432</v>
      </c>
      <c r="Y577" s="79" t="s">
        <v>1428</v>
      </c>
    </row>
    <row r="578" spans="2:25" ht="12.75" customHeight="1" x14ac:dyDescent="0.2">
      <c r="B578" s="142" t="s">
        <v>1429</v>
      </c>
      <c r="C578" s="142" t="s">
        <v>1429</v>
      </c>
      <c r="D578" s="142" t="s">
        <v>1428</v>
      </c>
      <c r="E578" s="107" t="str">
        <f t="shared" ref="E578:E624" si="19">CONCATENATE(J578,", ",K578,", ",L578)</f>
        <v>SLIPPERY ROCK, PA, 16057</v>
      </c>
      <c r="F578" s="142" t="s">
        <v>1428</v>
      </c>
      <c r="G578" s="142" t="s">
        <v>1430</v>
      </c>
      <c r="H578" s="142" t="s">
        <v>2762</v>
      </c>
      <c r="I578" s="142" t="s">
        <v>2764</v>
      </c>
      <c r="J578" s="142" t="s">
        <v>1431</v>
      </c>
      <c r="K578" s="142" t="s">
        <v>898</v>
      </c>
      <c r="L578" s="142" t="s">
        <v>1432</v>
      </c>
      <c r="N578" s="91">
        <f t="shared" si="18"/>
        <v>1</v>
      </c>
      <c r="O578" s="79" t="s">
        <v>1492</v>
      </c>
      <c r="P578" s="79" t="s">
        <v>1492</v>
      </c>
      <c r="Q578" s="79" t="s">
        <v>1491</v>
      </c>
      <c r="R578" s="79" t="s">
        <v>2762</v>
      </c>
      <c r="S578" s="79" t="s">
        <v>2765</v>
      </c>
      <c r="T578" s="79" t="s">
        <v>1493</v>
      </c>
      <c r="U578" s="79" t="s">
        <v>1431</v>
      </c>
      <c r="V578" s="79" t="s">
        <v>898</v>
      </c>
      <c r="W578" s="79" t="s">
        <v>1432</v>
      </c>
      <c r="Y578" s="79" t="s">
        <v>1491</v>
      </c>
    </row>
    <row r="579" spans="2:25" ht="12.75" customHeight="1" x14ac:dyDescent="0.2">
      <c r="B579" s="142" t="s">
        <v>1492</v>
      </c>
      <c r="C579" s="142" t="s">
        <v>1492</v>
      </c>
      <c r="D579" s="142" t="s">
        <v>1491</v>
      </c>
      <c r="E579" s="107" t="str">
        <f t="shared" si="19"/>
        <v>SLIPPERY ROCK, PA, 16057</v>
      </c>
      <c r="F579" s="142" t="s">
        <v>1491</v>
      </c>
      <c r="G579" s="142" t="s">
        <v>1493</v>
      </c>
      <c r="H579" s="142" t="s">
        <v>2762</v>
      </c>
      <c r="I579" s="142" t="s">
        <v>2765</v>
      </c>
      <c r="J579" s="142" t="s">
        <v>1431</v>
      </c>
      <c r="K579" s="142" t="s">
        <v>898</v>
      </c>
      <c r="L579" s="142" t="s">
        <v>1432</v>
      </c>
      <c r="N579" s="91">
        <f t="shared" si="18"/>
        <v>1</v>
      </c>
      <c r="O579" s="79" t="s">
        <v>1460</v>
      </c>
      <c r="P579" s="79" t="s">
        <v>1460</v>
      </c>
      <c r="Q579" s="79" t="s">
        <v>1459</v>
      </c>
      <c r="R579" s="79" t="s">
        <v>2762</v>
      </c>
      <c r="S579" s="79" t="s">
        <v>2764</v>
      </c>
      <c r="T579" s="79" t="s">
        <v>1461</v>
      </c>
      <c r="U579" s="79" t="s">
        <v>1263</v>
      </c>
      <c r="V579" s="79" t="s">
        <v>898</v>
      </c>
      <c r="W579" s="79" t="s">
        <v>1462</v>
      </c>
      <c r="Y579" s="79" t="s">
        <v>1459</v>
      </c>
    </row>
    <row r="580" spans="2:25" ht="12.75" customHeight="1" x14ac:dyDescent="0.2">
      <c r="B580" s="142" t="s">
        <v>1460</v>
      </c>
      <c r="C580" s="142" t="s">
        <v>1460</v>
      </c>
      <c r="D580" s="142" t="s">
        <v>1459</v>
      </c>
      <c r="E580" s="107" t="str">
        <f t="shared" si="19"/>
        <v>WAMPUM, PA, 16137</v>
      </c>
      <c r="F580" s="142" t="s">
        <v>1459</v>
      </c>
      <c r="G580" s="142" t="s">
        <v>1461</v>
      </c>
      <c r="H580" s="142" t="s">
        <v>2762</v>
      </c>
      <c r="I580" s="142" t="s">
        <v>2764</v>
      </c>
      <c r="J580" s="142" t="s">
        <v>1263</v>
      </c>
      <c r="K580" s="142" t="s">
        <v>898</v>
      </c>
      <c r="L580" s="142" t="s">
        <v>1462</v>
      </c>
      <c r="N580" s="91">
        <f t="shared" si="18"/>
        <v>1</v>
      </c>
      <c r="O580" s="79" t="s">
        <v>1377</v>
      </c>
      <c r="P580" s="79" t="s">
        <v>1377</v>
      </c>
      <c r="Q580" s="79" t="s">
        <v>1376</v>
      </c>
      <c r="R580" s="79" t="s">
        <v>2762</v>
      </c>
      <c r="S580" s="79" t="s">
        <v>2766</v>
      </c>
      <c r="T580" s="79" t="s">
        <v>1378</v>
      </c>
      <c r="U580" s="79" t="s">
        <v>885</v>
      </c>
      <c r="V580" s="79" t="s">
        <v>707</v>
      </c>
      <c r="W580" s="79" t="s">
        <v>1257</v>
      </c>
      <c r="Y580" s="79" t="s">
        <v>1376</v>
      </c>
    </row>
    <row r="581" spans="2:25" ht="12.75" customHeight="1" x14ac:dyDescent="0.2">
      <c r="B581" s="142" t="s">
        <v>1377</v>
      </c>
      <c r="C581" s="142" t="s">
        <v>1377</v>
      </c>
      <c r="D581" s="142" t="s">
        <v>1376</v>
      </c>
      <c r="E581" s="107" t="str">
        <f t="shared" si="19"/>
        <v>MASSILLON, OH, 44647</v>
      </c>
      <c r="F581" s="142" t="s">
        <v>1376</v>
      </c>
      <c r="G581" s="142" t="s">
        <v>1378</v>
      </c>
      <c r="H581" s="142" t="s">
        <v>2762</v>
      </c>
      <c r="I581" s="142" t="s">
        <v>2766</v>
      </c>
      <c r="J581" s="142" t="s">
        <v>885</v>
      </c>
      <c r="K581" s="142" t="s">
        <v>707</v>
      </c>
      <c r="L581" s="142" t="s">
        <v>1257</v>
      </c>
      <c r="N581" s="91">
        <f t="shared" si="18"/>
        <v>2</v>
      </c>
      <c r="O581" s="79" t="s">
        <v>1377</v>
      </c>
      <c r="P581" s="79" t="s">
        <v>1377</v>
      </c>
      <c r="Q581" s="79" t="s">
        <v>2665</v>
      </c>
      <c r="R581" s="79" t="s">
        <v>2762</v>
      </c>
      <c r="S581" s="79" t="s">
        <v>2766</v>
      </c>
      <c r="T581" s="79" t="s">
        <v>2666</v>
      </c>
      <c r="U581" s="79" t="s">
        <v>885</v>
      </c>
      <c r="V581" s="79" t="s">
        <v>707</v>
      </c>
      <c r="W581" s="79" t="s">
        <v>1257</v>
      </c>
      <c r="Y581" s="79" t="s">
        <v>2665</v>
      </c>
    </row>
    <row r="582" spans="2:25" ht="12.75" customHeight="1" x14ac:dyDescent="0.2">
      <c r="B582" s="107" t="s">
        <v>1377</v>
      </c>
      <c r="C582" s="107" t="s">
        <v>1377</v>
      </c>
      <c r="D582" s="107" t="s">
        <v>2665</v>
      </c>
      <c r="E582" s="107" t="str">
        <f t="shared" si="19"/>
        <v>MASSILLON, OH, 44647</v>
      </c>
      <c r="F582" s="107" t="s">
        <v>2665</v>
      </c>
      <c r="G582" s="107" t="s">
        <v>2666</v>
      </c>
      <c r="H582" s="107" t="s">
        <v>2762</v>
      </c>
      <c r="I582" s="107" t="s">
        <v>2766</v>
      </c>
      <c r="J582" s="107" t="s">
        <v>885</v>
      </c>
      <c r="K582" s="107" t="s">
        <v>707</v>
      </c>
      <c r="L582" s="107" t="s">
        <v>1257</v>
      </c>
      <c r="N582" s="91">
        <f t="shared" si="18"/>
        <v>1</v>
      </c>
      <c r="O582" s="79" t="s">
        <v>1382</v>
      </c>
      <c r="P582" s="79" t="s">
        <v>1382</v>
      </c>
      <c r="Q582" s="79" t="s">
        <v>1381</v>
      </c>
      <c r="R582" s="79" t="s">
        <v>2762</v>
      </c>
      <c r="S582" s="79" t="s">
        <v>2769</v>
      </c>
      <c r="T582" s="79" t="s">
        <v>1322</v>
      </c>
      <c r="U582" s="79" t="s">
        <v>1323</v>
      </c>
      <c r="V582" s="79" t="s">
        <v>707</v>
      </c>
      <c r="W582" s="79" t="s">
        <v>1324</v>
      </c>
      <c r="Y582" s="79" t="s">
        <v>1381</v>
      </c>
    </row>
    <row r="583" spans="2:25" ht="12.75" customHeight="1" x14ac:dyDescent="0.2">
      <c r="B583" s="142" t="s">
        <v>1382</v>
      </c>
      <c r="C583" s="142" t="s">
        <v>1382</v>
      </c>
      <c r="D583" s="142" t="s">
        <v>1381</v>
      </c>
      <c r="E583" s="107" t="str">
        <f t="shared" si="19"/>
        <v>NORTH JACKSON, OH, 44451</v>
      </c>
      <c r="F583" s="142" t="s">
        <v>1381</v>
      </c>
      <c r="G583" s="142" t="s">
        <v>1322</v>
      </c>
      <c r="H583" s="142" t="s">
        <v>2762</v>
      </c>
      <c r="I583" s="142" t="s">
        <v>2769</v>
      </c>
      <c r="J583" s="142" t="s">
        <v>1323</v>
      </c>
      <c r="K583" s="142" t="s">
        <v>707</v>
      </c>
      <c r="L583" s="142" t="s">
        <v>1324</v>
      </c>
      <c r="N583" s="91">
        <f t="shared" si="18"/>
        <v>1</v>
      </c>
      <c r="O583" s="79" t="s">
        <v>1380</v>
      </c>
      <c r="P583" s="79" t="s">
        <v>1380</v>
      </c>
      <c r="Q583" s="79" t="s">
        <v>1379</v>
      </c>
      <c r="R583" s="79" t="s">
        <v>2762</v>
      </c>
      <c r="S583" s="79" t="s">
        <v>2769</v>
      </c>
      <c r="T583" s="79" t="s">
        <v>807</v>
      </c>
      <c r="U583" s="79" t="s">
        <v>808</v>
      </c>
      <c r="V583" s="79" t="s">
        <v>707</v>
      </c>
      <c r="W583" s="79" t="s">
        <v>809</v>
      </c>
      <c r="Y583" s="79" t="s">
        <v>1379</v>
      </c>
    </row>
    <row r="584" spans="2:25" ht="12.75" customHeight="1" x14ac:dyDescent="0.2">
      <c r="B584" s="142" t="s">
        <v>3109</v>
      </c>
      <c r="C584" s="142" t="s">
        <v>3109</v>
      </c>
      <c r="D584" s="142" t="s">
        <v>3110</v>
      </c>
      <c r="E584" s="107" t="str">
        <f t="shared" si="19"/>
        <v>LUCASVILLE, OH, 45648</v>
      </c>
      <c r="F584" s="142" t="s">
        <v>3110</v>
      </c>
      <c r="G584" s="142" t="s">
        <v>3111</v>
      </c>
      <c r="H584" s="142" t="s">
        <v>2780</v>
      </c>
      <c r="I584" s="142" t="s">
        <v>2820</v>
      </c>
      <c r="J584" s="142" t="s">
        <v>2169</v>
      </c>
      <c r="K584" s="142" t="s">
        <v>707</v>
      </c>
      <c r="L584" s="142" t="s">
        <v>2170</v>
      </c>
      <c r="N584" s="91">
        <f t="shared" si="18"/>
        <v>1</v>
      </c>
      <c r="O584" s="79" t="s">
        <v>2175</v>
      </c>
      <c r="P584" s="79" t="s">
        <v>2175</v>
      </c>
      <c r="Q584" s="79" t="s">
        <v>2174</v>
      </c>
      <c r="R584" s="79" t="s">
        <v>2780</v>
      </c>
      <c r="S584" s="79" t="s">
        <v>2820</v>
      </c>
      <c r="T584" s="79" t="s">
        <v>2176</v>
      </c>
      <c r="U584" s="79" t="s">
        <v>2177</v>
      </c>
      <c r="V584" s="79" t="s">
        <v>707</v>
      </c>
      <c r="W584" s="79" t="s">
        <v>2178</v>
      </c>
      <c r="Y584" s="79" t="s">
        <v>2174</v>
      </c>
    </row>
    <row r="585" spans="2:25" ht="12.75" customHeight="1" x14ac:dyDescent="0.2">
      <c r="B585" s="142" t="s">
        <v>2175</v>
      </c>
      <c r="C585" s="142" t="s">
        <v>2175</v>
      </c>
      <c r="D585" s="142" t="s">
        <v>2174</v>
      </c>
      <c r="E585" s="107" t="str">
        <f t="shared" si="19"/>
        <v>FRANKFORT, OH, 45628</v>
      </c>
      <c r="F585" s="142" t="s">
        <v>2174</v>
      </c>
      <c r="G585" s="142" t="s">
        <v>2176</v>
      </c>
      <c r="H585" s="142" t="s">
        <v>2780</v>
      </c>
      <c r="I585" s="142" t="s">
        <v>2820</v>
      </c>
      <c r="J585" s="142" t="s">
        <v>2177</v>
      </c>
      <c r="K585" s="142" t="s">
        <v>707</v>
      </c>
      <c r="L585" s="142" t="s">
        <v>2178</v>
      </c>
      <c r="N585" s="91">
        <f t="shared" si="18"/>
        <v>1</v>
      </c>
      <c r="O585" s="79" t="s">
        <v>2167</v>
      </c>
      <c r="P585" s="79" t="s">
        <v>2167</v>
      </c>
      <c r="Q585" s="79" t="s">
        <v>2166</v>
      </c>
      <c r="R585" s="79" t="s">
        <v>2780</v>
      </c>
      <c r="S585" s="79" t="s">
        <v>2781</v>
      </c>
      <c r="T585" s="79" t="s">
        <v>2168</v>
      </c>
      <c r="U585" s="79" t="s">
        <v>2169</v>
      </c>
      <c r="V585" s="79" t="s">
        <v>707</v>
      </c>
      <c r="W585" s="79" t="s">
        <v>2170</v>
      </c>
      <c r="Y585" s="79" t="s">
        <v>2166</v>
      </c>
    </row>
    <row r="586" spans="2:25" ht="12.75" customHeight="1" x14ac:dyDescent="0.2">
      <c r="B586" s="142" t="s">
        <v>2167</v>
      </c>
      <c r="C586" s="142" t="s">
        <v>2167</v>
      </c>
      <c r="D586" s="142" t="s">
        <v>2166</v>
      </c>
      <c r="E586" s="107" t="str">
        <f t="shared" si="19"/>
        <v>LUCASVILLE, OH, 45648</v>
      </c>
      <c r="F586" s="142" t="s">
        <v>2166</v>
      </c>
      <c r="G586" s="142" t="s">
        <v>2168</v>
      </c>
      <c r="H586" s="142" t="s">
        <v>2780</v>
      </c>
      <c r="I586" s="142" t="s">
        <v>2781</v>
      </c>
      <c r="J586" s="142" t="s">
        <v>2169</v>
      </c>
      <c r="K586" s="142" t="s">
        <v>707</v>
      </c>
      <c r="L586" s="142" t="s">
        <v>2170</v>
      </c>
      <c r="N586" s="91">
        <f t="shared" si="18"/>
        <v>1</v>
      </c>
      <c r="O586" s="79" t="s">
        <v>1647</v>
      </c>
      <c r="P586" s="79" t="s">
        <v>1647</v>
      </c>
      <c r="Q586" s="79" t="s">
        <v>1646</v>
      </c>
      <c r="R586" s="79" t="s">
        <v>2834</v>
      </c>
      <c r="S586" s="79" t="s">
        <v>2838</v>
      </c>
      <c r="T586" s="79" t="s">
        <v>1648</v>
      </c>
      <c r="U586" s="79" t="s">
        <v>1649</v>
      </c>
      <c r="V586" s="79" t="s">
        <v>707</v>
      </c>
      <c r="W586" s="79" t="s">
        <v>1650</v>
      </c>
      <c r="Y586" s="79" t="s">
        <v>1646</v>
      </c>
    </row>
    <row r="587" spans="2:25" ht="12.75" customHeight="1" x14ac:dyDescent="0.2">
      <c r="B587" s="142" t="s">
        <v>1647</v>
      </c>
      <c r="C587" s="142" t="s">
        <v>1647</v>
      </c>
      <c r="D587" s="142" t="s">
        <v>1646</v>
      </c>
      <c r="E587" s="107" t="str">
        <f t="shared" si="19"/>
        <v>PLAIN CITY, OH, 43064</v>
      </c>
      <c r="F587" s="142" t="s">
        <v>1646</v>
      </c>
      <c r="G587" s="142" t="s">
        <v>1648</v>
      </c>
      <c r="H587" s="142" t="s">
        <v>2834</v>
      </c>
      <c r="I587" s="142" t="s">
        <v>2838</v>
      </c>
      <c r="J587" s="142" t="s">
        <v>1649</v>
      </c>
      <c r="K587" s="142" t="s">
        <v>707</v>
      </c>
      <c r="L587" s="142" t="s">
        <v>1650</v>
      </c>
      <c r="N587" s="91">
        <f t="shared" si="18"/>
        <v>2</v>
      </c>
      <c r="O587" s="79" t="s">
        <v>1647</v>
      </c>
      <c r="P587" s="79" t="s">
        <v>1647</v>
      </c>
      <c r="Q587" s="79" t="s">
        <v>2692</v>
      </c>
      <c r="R587" s="79" t="s">
        <v>2834</v>
      </c>
      <c r="S587" s="79" t="s">
        <v>2838</v>
      </c>
      <c r="T587" s="79" t="s">
        <v>1648</v>
      </c>
      <c r="U587" s="79" t="s">
        <v>1649</v>
      </c>
      <c r="V587" s="79" t="s">
        <v>707</v>
      </c>
      <c r="W587" s="79" t="s">
        <v>1650</v>
      </c>
      <c r="Y587" s="79" t="s">
        <v>2692</v>
      </c>
    </row>
    <row r="588" spans="2:25" ht="12.75" customHeight="1" x14ac:dyDescent="0.2">
      <c r="B588" s="107" t="s">
        <v>1647</v>
      </c>
      <c r="C588" s="107" t="s">
        <v>1647</v>
      </c>
      <c r="D588" s="107" t="s">
        <v>2692</v>
      </c>
      <c r="E588" s="107" t="str">
        <f t="shared" si="19"/>
        <v>PLAIN CITY, OH, 43064</v>
      </c>
      <c r="F588" s="107" t="s">
        <v>2692</v>
      </c>
      <c r="G588" s="107" t="s">
        <v>1648</v>
      </c>
      <c r="H588" s="107" t="s">
        <v>2834</v>
      </c>
      <c r="I588" s="107" t="s">
        <v>2838</v>
      </c>
      <c r="J588" s="107" t="s">
        <v>1649</v>
      </c>
      <c r="K588" s="107" t="s">
        <v>707</v>
      </c>
      <c r="L588" s="107" t="s">
        <v>1650</v>
      </c>
      <c r="N588" s="91">
        <f t="shared" si="18"/>
        <v>1</v>
      </c>
      <c r="O588" s="79" t="s">
        <v>913</v>
      </c>
      <c r="P588" s="79" t="s">
        <v>913</v>
      </c>
      <c r="Q588" s="79" t="s">
        <v>912</v>
      </c>
      <c r="R588" s="79" t="s">
        <v>2804</v>
      </c>
      <c r="S588" s="79" t="s">
        <v>2764</v>
      </c>
      <c r="T588" s="79" t="s">
        <v>914</v>
      </c>
      <c r="U588" s="79" t="s">
        <v>915</v>
      </c>
      <c r="V588" s="79" t="s">
        <v>723</v>
      </c>
      <c r="W588" s="79" t="s">
        <v>916</v>
      </c>
      <c r="Y588" s="79" t="s">
        <v>912</v>
      </c>
    </row>
    <row r="589" spans="2:25" ht="12.75" customHeight="1" x14ac:dyDescent="0.2">
      <c r="B589" s="142" t="s">
        <v>720</v>
      </c>
      <c r="C589" s="142" t="s">
        <v>720</v>
      </c>
      <c r="D589" s="142" t="s">
        <v>719</v>
      </c>
      <c r="E589" s="107" t="str">
        <f t="shared" si="19"/>
        <v>DECATUR, IN, 46733</v>
      </c>
      <c r="F589" s="142" t="s">
        <v>719</v>
      </c>
      <c r="G589" s="142" t="s">
        <v>721</v>
      </c>
      <c r="H589" s="142" t="s">
        <v>2804</v>
      </c>
      <c r="I589" s="142" t="s">
        <v>2811</v>
      </c>
      <c r="J589" s="142" t="s">
        <v>722</v>
      </c>
      <c r="K589" s="142" t="s">
        <v>723</v>
      </c>
      <c r="L589" s="142" t="s">
        <v>724</v>
      </c>
      <c r="N589" s="91">
        <f t="shared" si="18"/>
        <v>1</v>
      </c>
      <c r="O589" s="79" t="s">
        <v>720</v>
      </c>
      <c r="P589" s="79" t="s">
        <v>720</v>
      </c>
      <c r="Q589" s="79" t="s">
        <v>719</v>
      </c>
      <c r="R589" s="79" t="s">
        <v>2804</v>
      </c>
      <c r="S589" s="79" t="s">
        <v>2811</v>
      </c>
      <c r="T589" s="79" t="s">
        <v>721</v>
      </c>
      <c r="U589" s="79" t="s">
        <v>722</v>
      </c>
      <c r="V589" s="79" t="s">
        <v>723</v>
      </c>
      <c r="W589" s="79" t="s">
        <v>724</v>
      </c>
      <c r="Y589" s="79" t="s">
        <v>719</v>
      </c>
    </row>
    <row r="590" spans="2:25" ht="12.75" customHeight="1" x14ac:dyDescent="0.2">
      <c r="B590" s="142" t="s">
        <v>918</v>
      </c>
      <c r="C590" s="142" t="s">
        <v>918</v>
      </c>
      <c r="D590" s="142" t="s">
        <v>917</v>
      </c>
      <c r="E590" s="107" t="str">
        <f t="shared" si="19"/>
        <v>PORTLAND, IN, 47371</v>
      </c>
      <c r="F590" s="142" t="s">
        <v>917</v>
      </c>
      <c r="G590" s="142" t="s">
        <v>919</v>
      </c>
      <c r="H590" s="142" t="s">
        <v>2804</v>
      </c>
      <c r="I590" s="142" t="s">
        <v>2764</v>
      </c>
      <c r="J590" s="142" t="s">
        <v>920</v>
      </c>
      <c r="K590" s="142" t="s">
        <v>723</v>
      </c>
      <c r="L590" s="142" t="s">
        <v>921</v>
      </c>
      <c r="N590" s="91">
        <f t="shared" si="18"/>
        <v>1</v>
      </c>
      <c r="O590" s="79" t="s">
        <v>918</v>
      </c>
      <c r="P590" s="79" t="s">
        <v>918</v>
      </c>
      <c r="Q590" s="79" t="s">
        <v>917</v>
      </c>
      <c r="R590" s="79" t="s">
        <v>2804</v>
      </c>
      <c r="S590" s="79" t="s">
        <v>2764</v>
      </c>
      <c r="T590" s="79" t="s">
        <v>919</v>
      </c>
      <c r="U590" s="79" t="s">
        <v>920</v>
      </c>
      <c r="V590" s="79" t="s">
        <v>723</v>
      </c>
      <c r="W590" s="79" t="s">
        <v>921</v>
      </c>
      <c r="Y590" s="79" t="s">
        <v>917</v>
      </c>
    </row>
    <row r="591" spans="2:25" ht="12.75" customHeight="1" x14ac:dyDescent="0.2">
      <c r="B591" s="142" t="s">
        <v>1815</v>
      </c>
      <c r="C591" s="142" t="s">
        <v>1815</v>
      </c>
      <c r="D591" s="142" t="s">
        <v>1814</v>
      </c>
      <c r="E591" s="107" t="str">
        <f t="shared" si="19"/>
        <v>RICHMOND, IN, 47374</v>
      </c>
      <c r="F591" s="142" t="s">
        <v>1814</v>
      </c>
      <c r="G591" s="142" t="s">
        <v>1816</v>
      </c>
      <c r="H591" s="142" t="s">
        <v>2770</v>
      </c>
      <c r="I591" s="142" t="s">
        <v>2764</v>
      </c>
      <c r="J591" s="142" t="s">
        <v>1817</v>
      </c>
      <c r="K591" s="142" t="s">
        <v>723</v>
      </c>
      <c r="L591" s="142" t="s">
        <v>1818</v>
      </c>
      <c r="N591" s="91">
        <f t="shared" si="18"/>
        <v>1</v>
      </c>
      <c r="O591" s="79" t="s">
        <v>1815</v>
      </c>
      <c r="P591" s="79" t="s">
        <v>1815</v>
      </c>
      <c r="Q591" s="79" t="s">
        <v>1814</v>
      </c>
      <c r="R591" s="79" t="s">
        <v>2770</v>
      </c>
      <c r="S591" s="79" t="s">
        <v>2764</v>
      </c>
      <c r="T591" s="79" t="s">
        <v>1816</v>
      </c>
      <c r="U591" s="79" t="s">
        <v>1817</v>
      </c>
      <c r="V591" s="79" t="s">
        <v>723</v>
      </c>
      <c r="W591" s="79" t="s">
        <v>1818</v>
      </c>
      <c r="Y591" s="79" t="s">
        <v>1814</v>
      </c>
    </row>
    <row r="592" spans="2:25" ht="12.75" customHeight="1" x14ac:dyDescent="0.2">
      <c r="B592" s="142" t="s">
        <v>923</v>
      </c>
      <c r="C592" s="142" t="s">
        <v>923</v>
      </c>
      <c r="D592" s="142" t="s">
        <v>922</v>
      </c>
      <c r="E592" s="107" t="str">
        <f t="shared" si="19"/>
        <v>RIDGEVILLE, IN, 47380</v>
      </c>
      <c r="F592" s="142" t="s">
        <v>922</v>
      </c>
      <c r="G592" s="142" t="s">
        <v>924</v>
      </c>
      <c r="H592" s="142" t="s">
        <v>2804</v>
      </c>
      <c r="I592" s="142" t="s">
        <v>2764</v>
      </c>
      <c r="J592" s="142" t="s">
        <v>925</v>
      </c>
      <c r="K592" s="142" t="s">
        <v>723</v>
      </c>
      <c r="L592" s="142" t="s">
        <v>926</v>
      </c>
      <c r="N592" s="91">
        <f t="shared" si="18"/>
        <v>1</v>
      </c>
      <c r="O592" s="79" t="s">
        <v>923</v>
      </c>
      <c r="P592" s="79" t="s">
        <v>923</v>
      </c>
      <c r="Q592" s="79" t="s">
        <v>922</v>
      </c>
      <c r="R592" s="79" t="s">
        <v>2804</v>
      </c>
      <c r="S592" s="79" t="s">
        <v>2764</v>
      </c>
      <c r="T592" s="79" t="s">
        <v>924</v>
      </c>
      <c r="U592" s="79" t="s">
        <v>925</v>
      </c>
      <c r="V592" s="79" t="s">
        <v>723</v>
      </c>
      <c r="W592" s="79" t="s">
        <v>926</v>
      </c>
      <c r="Y592" s="79" t="s">
        <v>922</v>
      </c>
    </row>
    <row r="593" spans="2:25" ht="12.75" customHeight="1" x14ac:dyDescent="0.2">
      <c r="B593" s="142" t="s">
        <v>1518</v>
      </c>
      <c r="C593" s="142" t="s">
        <v>1518</v>
      </c>
      <c r="D593" s="142" t="s">
        <v>1517</v>
      </c>
      <c r="E593" s="107" t="str">
        <f t="shared" si="19"/>
        <v>DANVILLE, OH, 43104</v>
      </c>
      <c r="F593" s="142" t="s">
        <v>1517</v>
      </c>
      <c r="G593" s="142" t="s">
        <v>1519</v>
      </c>
      <c r="H593" s="142" t="s">
        <v>2786</v>
      </c>
      <c r="I593" s="142" t="s">
        <v>2848</v>
      </c>
      <c r="J593" s="142" t="s">
        <v>1520</v>
      </c>
      <c r="K593" s="142" t="s">
        <v>707</v>
      </c>
      <c r="L593" s="142" t="s">
        <v>1521</v>
      </c>
      <c r="N593" s="91">
        <f t="shared" si="18"/>
        <v>1</v>
      </c>
      <c r="O593" s="79" t="s">
        <v>1518</v>
      </c>
      <c r="P593" s="79" t="s">
        <v>1518</v>
      </c>
      <c r="Q593" s="79" t="s">
        <v>1517</v>
      </c>
      <c r="R593" s="79" t="s">
        <v>2786</v>
      </c>
      <c r="S593" s="79" t="s">
        <v>2848</v>
      </c>
      <c r="T593" s="79" t="s">
        <v>1519</v>
      </c>
      <c r="U593" s="79" t="s">
        <v>1520</v>
      </c>
      <c r="V593" s="79" t="s">
        <v>707</v>
      </c>
      <c r="W593" s="79" t="s">
        <v>1521</v>
      </c>
      <c r="Y593" s="79" t="s">
        <v>1517</v>
      </c>
    </row>
    <row r="594" spans="2:25" ht="12.75" customHeight="1" x14ac:dyDescent="0.2">
      <c r="B594" s="142" t="s">
        <v>1528</v>
      </c>
      <c r="C594" s="142" t="s">
        <v>1528</v>
      </c>
      <c r="D594" s="142" t="s">
        <v>1527</v>
      </c>
      <c r="E594" s="107" t="str">
        <f t="shared" si="19"/>
        <v>MT. VERNON, OH, 43050</v>
      </c>
      <c r="F594" s="142" t="s">
        <v>1527</v>
      </c>
      <c r="G594" s="142" t="s">
        <v>1529</v>
      </c>
      <c r="H594" s="142" t="s">
        <v>2786</v>
      </c>
      <c r="I594" s="142" t="s">
        <v>2848</v>
      </c>
      <c r="J594" s="142" t="s">
        <v>1530</v>
      </c>
      <c r="K594" s="142" t="s">
        <v>707</v>
      </c>
      <c r="L594" s="142" t="s">
        <v>1531</v>
      </c>
      <c r="N594" s="91">
        <f t="shared" si="18"/>
        <v>1</v>
      </c>
      <c r="O594" s="79" t="s">
        <v>1528</v>
      </c>
      <c r="P594" s="79" t="s">
        <v>1528</v>
      </c>
      <c r="Q594" s="79" t="s">
        <v>1527</v>
      </c>
      <c r="R594" s="79" t="s">
        <v>2786</v>
      </c>
      <c r="S594" s="79" t="s">
        <v>2848</v>
      </c>
      <c r="T594" s="79" t="s">
        <v>1529</v>
      </c>
      <c r="U594" s="79" t="s">
        <v>1530</v>
      </c>
      <c r="V594" s="79" t="s">
        <v>707</v>
      </c>
      <c r="W594" s="79" t="s">
        <v>1531</v>
      </c>
      <c r="Y594" s="79" t="s">
        <v>1527</v>
      </c>
    </row>
    <row r="595" spans="2:25" ht="12.75" customHeight="1" x14ac:dyDescent="0.2">
      <c r="B595" s="142" t="s">
        <v>1751</v>
      </c>
      <c r="C595" s="142" t="s">
        <v>1751</v>
      </c>
      <c r="D595" s="142" t="s">
        <v>1750</v>
      </c>
      <c r="E595" s="107" t="str">
        <f t="shared" si="19"/>
        <v>URBANA, OH, 43078</v>
      </c>
      <c r="F595" s="142" t="s">
        <v>1750</v>
      </c>
      <c r="G595" s="142" t="s">
        <v>1752</v>
      </c>
      <c r="H595" s="142" t="s">
        <v>2775</v>
      </c>
      <c r="I595" s="142" t="s">
        <v>2833</v>
      </c>
      <c r="J595" s="142" t="s">
        <v>1753</v>
      </c>
      <c r="K595" s="142" t="s">
        <v>707</v>
      </c>
      <c r="L595" s="142" t="s">
        <v>1754</v>
      </c>
      <c r="N595" s="91">
        <f t="shared" si="18"/>
        <v>1</v>
      </c>
      <c r="O595" s="79" t="s">
        <v>1751</v>
      </c>
      <c r="P595" s="79" t="s">
        <v>1751</v>
      </c>
      <c r="Q595" s="79" t="s">
        <v>1750</v>
      </c>
      <c r="R595" s="79" t="s">
        <v>2775</v>
      </c>
      <c r="S595" s="79" t="s">
        <v>2833</v>
      </c>
      <c r="T595" s="79" t="s">
        <v>1752</v>
      </c>
      <c r="U595" s="79" t="s">
        <v>1753</v>
      </c>
      <c r="V595" s="79" t="s">
        <v>707</v>
      </c>
      <c r="W595" s="79" t="s">
        <v>1754</v>
      </c>
      <c r="Y595" s="79" t="s">
        <v>1750</v>
      </c>
    </row>
    <row r="596" spans="2:25" ht="12.75" customHeight="1" x14ac:dyDescent="0.2">
      <c r="B596" s="142" t="s">
        <v>2077</v>
      </c>
      <c r="C596" s="142" t="s">
        <v>2077</v>
      </c>
      <c r="D596" s="142" t="s">
        <v>2076</v>
      </c>
      <c r="E596" s="107" t="str">
        <f t="shared" si="19"/>
        <v>CINCINNATI, OH, 45241</v>
      </c>
      <c r="F596" s="142" t="s">
        <v>2076</v>
      </c>
      <c r="G596" s="142" t="s">
        <v>2078</v>
      </c>
      <c r="H596" s="142" t="s">
        <v>2770</v>
      </c>
      <c r="I596" s="142" t="s">
        <v>2789</v>
      </c>
      <c r="J596" s="142" t="s">
        <v>1144</v>
      </c>
      <c r="K596" s="142" t="s">
        <v>707</v>
      </c>
      <c r="L596" s="142" t="s">
        <v>2079</v>
      </c>
      <c r="N596" s="91">
        <f t="shared" si="18"/>
        <v>1</v>
      </c>
      <c r="O596" s="79" t="s">
        <v>2077</v>
      </c>
      <c r="P596" s="79" t="s">
        <v>2077</v>
      </c>
      <c r="Q596" s="79" t="s">
        <v>2076</v>
      </c>
      <c r="R596" s="79" t="s">
        <v>2770</v>
      </c>
      <c r="S596" s="79" t="s">
        <v>2789</v>
      </c>
      <c r="T596" s="79" t="s">
        <v>2078</v>
      </c>
      <c r="U596" s="79" t="s">
        <v>1144</v>
      </c>
      <c r="V596" s="79" t="s">
        <v>707</v>
      </c>
      <c r="W596" s="79" t="s">
        <v>2079</v>
      </c>
      <c r="Y596" s="79" t="s">
        <v>2076</v>
      </c>
    </row>
    <row r="597" spans="2:25" ht="12.75" customHeight="1" x14ac:dyDescent="0.2">
      <c r="B597" s="107" t="s">
        <v>2695</v>
      </c>
      <c r="C597" s="107" t="s">
        <v>2695</v>
      </c>
      <c r="D597" s="107" t="s">
        <v>2694</v>
      </c>
      <c r="E597" s="107" t="str">
        <f t="shared" si="19"/>
        <v>GREENVILLE, OH, 45331</v>
      </c>
      <c r="F597" s="107" t="s">
        <v>2694</v>
      </c>
      <c r="G597" s="107" t="s">
        <v>2696</v>
      </c>
      <c r="H597" s="107" t="s">
        <v>2775</v>
      </c>
      <c r="I597" s="107" t="s">
        <v>2801</v>
      </c>
      <c r="J597" s="107" t="s">
        <v>1763</v>
      </c>
      <c r="K597" s="107" t="s">
        <v>707</v>
      </c>
      <c r="L597" s="107" t="s">
        <v>1764</v>
      </c>
      <c r="N597" s="91">
        <f t="shared" ref="N597:N622" si="20">IF(O597=O596,1+N596,1)</f>
        <v>1</v>
      </c>
      <c r="O597" s="79" t="s">
        <v>2695</v>
      </c>
      <c r="P597" s="79" t="s">
        <v>2695</v>
      </c>
      <c r="Q597" s="79" t="s">
        <v>2694</v>
      </c>
      <c r="R597" s="79" t="s">
        <v>2775</v>
      </c>
      <c r="S597" s="79" t="s">
        <v>2801</v>
      </c>
      <c r="T597" s="79" t="s">
        <v>2696</v>
      </c>
      <c r="U597" s="79" t="s">
        <v>1763</v>
      </c>
      <c r="V597" s="79" t="s">
        <v>707</v>
      </c>
      <c r="W597" s="79" t="s">
        <v>1764</v>
      </c>
      <c r="Y597" s="79" t="s">
        <v>2694</v>
      </c>
    </row>
    <row r="598" spans="2:25" ht="12.75" customHeight="1" x14ac:dyDescent="0.2">
      <c r="B598" s="142" t="s">
        <v>2059</v>
      </c>
      <c r="C598" s="142" t="s">
        <v>2059</v>
      </c>
      <c r="D598" s="142" t="s">
        <v>2058</v>
      </c>
      <c r="E598" s="107" t="str">
        <f t="shared" si="19"/>
        <v>CLEVES, OH, 45002</v>
      </c>
      <c r="F598" s="142" t="s">
        <v>2058</v>
      </c>
      <c r="G598" s="142" t="s">
        <v>2060</v>
      </c>
      <c r="H598" s="142" t="s">
        <v>2770</v>
      </c>
      <c r="I598" s="142" t="s">
        <v>2789</v>
      </c>
      <c r="J598" s="142" t="s">
        <v>1969</v>
      </c>
      <c r="K598" s="142" t="s">
        <v>707</v>
      </c>
      <c r="L598" s="142" t="s">
        <v>1970</v>
      </c>
      <c r="N598" s="91">
        <f t="shared" si="20"/>
        <v>1</v>
      </c>
      <c r="O598" s="79" t="s">
        <v>2059</v>
      </c>
      <c r="P598" s="79" t="s">
        <v>2059</v>
      </c>
      <c r="Q598" s="79" t="s">
        <v>2058</v>
      </c>
      <c r="R598" s="79" t="s">
        <v>2770</v>
      </c>
      <c r="S598" s="79" t="s">
        <v>2789</v>
      </c>
      <c r="T598" s="79" t="s">
        <v>2060</v>
      </c>
      <c r="U598" s="79" t="s">
        <v>1969</v>
      </c>
      <c r="V598" s="79" t="s">
        <v>707</v>
      </c>
      <c r="W598" s="79" t="s">
        <v>1970</v>
      </c>
      <c r="Y598" s="79" t="s">
        <v>2058</v>
      </c>
    </row>
    <row r="599" spans="2:25" ht="12.75" customHeight="1" x14ac:dyDescent="0.2">
      <c r="B599" s="142" t="s">
        <v>2038</v>
      </c>
      <c r="C599" s="142" t="s">
        <v>2038</v>
      </c>
      <c r="D599" s="142" t="s">
        <v>2037</v>
      </c>
      <c r="E599" s="107" t="str">
        <f t="shared" si="19"/>
        <v>HARRISON, OH, 45030</v>
      </c>
      <c r="F599" s="142" t="s">
        <v>2037</v>
      </c>
      <c r="G599" s="142" t="s">
        <v>2039</v>
      </c>
      <c r="H599" s="142" t="s">
        <v>2770</v>
      </c>
      <c r="I599" s="142" t="s">
        <v>2789</v>
      </c>
      <c r="J599" s="142" t="s">
        <v>1879</v>
      </c>
      <c r="K599" s="142" t="s">
        <v>707</v>
      </c>
      <c r="L599" s="142" t="s">
        <v>1880</v>
      </c>
      <c r="N599" s="91">
        <f t="shared" si="20"/>
        <v>1</v>
      </c>
      <c r="O599" s="79" t="s">
        <v>2038</v>
      </c>
      <c r="P599" s="79" t="s">
        <v>2038</v>
      </c>
      <c r="Q599" s="79" t="s">
        <v>2037</v>
      </c>
      <c r="R599" s="79" t="s">
        <v>2770</v>
      </c>
      <c r="S599" s="79" t="s">
        <v>2789</v>
      </c>
      <c r="T599" s="79" t="s">
        <v>2039</v>
      </c>
      <c r="U599" s="79" t="s">
        <v>1879</v>
      </c>
      <c r="V599" s="79" t="s">
        <v>707</v>
      </c>
      <c r="W599" s="79" t="s">
        <v>1880</v>
      </c>
      <c r="Y599" s="79" t="s">
        <v>2037</v>
      </c>
    </row>
    <row r="600" spans="2:25" ht="12.75" customHeight="1" x14ac:dyDescent="0.2">
      <c r="B600" s="142" t="s">
        <v>1947</v>
      </c>
      <c r="C600" s="142" t="s">
        <v>1947</v>
      </c>
      <c r="D600" s="142" t="s">
        <v>1946</v>
      </c>
      <c r="E600" s="107" t="str">
        <f t="shared" si="19"/>
        <v>MIDDLETOWN, OH, 45044</v>
      </c>
      <c r="F600" s="142" t="s">
        <v>1946</v>
      </c>
      <c r="G600" s="142" t="s">
        <v>1948</v>
      </c>
      <c r="H600" s="142" t="s">
        <v>2770</v>
      </c>
      <c r="I600" s="142" t="s">
        <v>2827</v>
      </c>
      <c r="J600" s="142" t="s">
        <v>1807</v>
      </c>
      <c r="K600" s="142" t="s">
        <v>707</v>
      </c>
      <c r="L600" s="142" t="s">
        <v>1808</v>
      </c>
      <c r="N600" s="91">
        <f t="shared" si="20"/>
        <v>1</v>
      </c>
      <c r="O600" s="79" t="s">
        <v>1947</v>
      </c>
      <c r="P600" s="79" t="s">
        <v>1947</v>
      </c>
      <c r="Q600" s="79" t="s">
        <v>1946</v>
      </c>
      <c r="R600" s="79" t="s">
        <v>2770</v>
      </c>
      <c r="S600" s="79" t="s">
        <v>2827</v>
      </c>
      <c r="T600" s="79" t="s">
        <v>1948</v>
      </c>
      <c r="U600" s="79" t="s">
        <v>1807</v>
      </c>
      <c r="V600" s="79" t="s">
        <v>707</v>
      </c>
      <c r="W600" s="79" t="s">
        <v>1808</v>
      </c>
      <c r="Y600" s="79" t="s">
        <v>1946</v>
      </c>
    </row>
    <row r="601" spans="2:25" ht="12.75" customHeight="1" x14ac:dyDescent="0.2">
      <c r="B601" s="142" t="s">
        <v>1870</v>
      </c>
      <c r="C601" s="142" t="s">
        <v>1870</v>
      </c>
      <c r="D601" s="142" t="s">
        <v>1869</v>
      </c>
      <c r="E601" s="107" t="str">
        <f t="shared" si="19"/>
        <v>HAMILTON, OH, 45013</v>
      </c>
      <c r="F601" s="142" t="s">
        <v>1869</v>
      </c>
      <c r="G601" s="142" t="s">
        <v>1871</v>
      </c>
      <c r="H601" s="142" t="s">
        <v>2770</v>
      </c>
      <c r="I601" s="142" t="s">
        <v>2827</v>
      </c>
      <c r="J601" s="142" t="s">
        <v>1812</v>
      </c>
      <c r="K601" s="142" t="s">
        <v>707</v>
      </c>
      <c r="L601" s="142" t="s">
        <v>1872</v>
      </c>
      <c r="N601" s="91">
        <f t="shared" si="20"/>
        <v>1</v>
      </c>
      <c r="O601" s="79" t="s">
        <v>1870</v>
      </c>
      <c r="P601" s="79" t="s">
        <v>1870</v>
      </c>
      <c r="Q601" s="79" t="s">
        <v>1869</v>
      </c>
      <c r="R601" s="79" t="s">
        <v>2770</v>
      </c>
      <c r="S601" s="79" t="s">
        <v>2827</v>
      </c>
      <c r="T601" s="79" t="s">
        <v>1871</v>
      </c>
      <c r="U601" s="79" t="s">
        <v>1812</v>
      </c>
      <c r="V601" s="79" t="s">
        <v>707</v>
      </c>
      <c r="W601" s="79" t="s">
        <v>1872</v>
      </c>
      <c r="Y601" s="79" t="s">
        <v>1869</v>
      </c>
    </row>
    <row r="602" spans="2:25" ht="12.75" customHeight="1" x14ac:dyDescent="0.2">
      <c r="B602" s="142" t="s">
        <v>3094</v>
      </c>
      <c r="C602" s="142" t="s">
        <v>3094</v>
      </c>
      <c r="D602" s="142" t="s">
        <v>1770</v>
      </c>
      <c r="E602" s="107" t="str">
        <f t="shared" si="19"/>
        <v>ST. MARYS, OH, 45885</v>
      </c>
      <c r="F602" s="142" t="s">
        <v>1770</v>
      </c>
      <c r="G602" s="142" t="s">
        <v>1772</v>
      </c>
      <c r="H602" s="142" t="s">
        <v>2775</v>
      </c>
      <c r="I602" s="142" t="s">
        <v>2794</v>
      </c>
      <c r="J602" s="142" t="s">
        <v>1773</v>
      </c>
      <c r="K602" s="142" t="s">
        <v>707</v>
      </c>
      <c r="L602" s="142" t="s">
        <v>1774</v>
      </c>
      <c r="N602" s="91">
        <f t="shared" si="20"/>
        <v>1</v>
      </c>
      <c r="O602" s="79" t="s">
        <v>1062</v>
      </c>
      <c r="P602" s="79" t="s">
        <v>1062</v>
      </c>
      <c r="Q602" s="79" t="s">
        <v>1061</v>
      </c>
      <c r="R602" s="79" t="s">
        <v>2772</v>
      </c>
      <c r="S602" s="79" t="s">
        <v>2807</v>
      </c>
      <c r="T602" s="79" t="s">
        <v>1063</v>
      </c>
      <c r="U602" s="79" t="s">
        <v>1064</v>
      </c>
      <c r="V602" s="79" t="s">
        <v>707</v>
      </c>
      <c r="W602" s="79" t="s">
        <v>1065</v>
      </c>
      <c r="Y602" s="79" t="s">
        <v>1061</v>
      </c>
    </row>
    <row r="603" spans="2:25" ht="12.75" customHeight="1" x14ac:dyDescent="0.2">
      <c r="B603" s="142" t="s">
        <v>1062</v>
      </c>
      <c r="C603" s="142" t="s">
        <v>1062</v>
      </c>
      <c r="D603" s="142" t="s">
        <v>1061</v>
      </c>
      <c r="E603" s="107" t="str">
        <f t="shared" si="19"/>
        <v>EDGERTON, OH, 43517</v>
      </c>
      <c r="F603" s="142" t="s">
        <v>1061</v>
      </c>
      <c r="G603" s="142" t="s">
        <v>1063</v>
      </c>
      <c r="H603" s="142" t="s">
        <v>2772</v>
      </c>
      <c r="I603" s="142" t="s">
        <v>2807</v>
      </c>
      <c r="J603" s="142" t="s">
        <v>1064</v>
      </c>
      <c r="K603" s="142" t="s">
        <v>707</v>
      </c>
      <c r="L603" s="142" t="s">
        <v>1065</v>
      </c>
      <c r="N603" s="91">
        <f t="shared" si="20"/>
        <v>1</v>
      </c>
      <c r="O603" s="79" t="s">
        <v>1786</v>
      </c>
      <c r="P603" s="79" t="s">
        <v>1786</v>
      </c>
      <c r="Q603" s="79" t="s">
        <v>1785</v>
      </c>
      <c r="R603" s="79" t="s">
        <v>2775</v>
      </c>
      <c r="S603" s="79" t="s">
        <v>2777</v>
      </c>
      <c r="T603" s="79" t="s">
        <v>1787</v>
      </c>
      <c r="U603" s="79" t="s">
        <v>1788</v>
      </c>
      <c r="V603" s="79" t="s">
        <v>707</v>
      </c>
      <c r="W603" s="79" t="s">
        <v>1789</v>
      </c>
      <c r="Y603" s="79" t="s">
        <v>1785</v>
      </c>
    </row>
    <row r="604" spans="2:25" ht="12.75" customHeight="1" x14ac:dyDescent="0.2">
      <c r="B604" s="142" t="s">
        <v>1786</v>
      </c>
      <c r="C604" s="142" t="s">
        <v>1786</v>
      </c>
      <c r="D604" s="142" t="s">
        <v>1785</v>
      </c>
      <c r="E604" s="107" t="str">
        <f t="shared" si="19"/>
        <v>GERMANTOWN, OH, 45327</v>
      </c>
      <c r="F604" s="142" t="s">
        <v>1785</v>
      </c>
      <c r="G604" s="142" t="s">
        <v>1787</v>
      </c>
      <c r="H604" s="142" t="s">
        <v>2775</v>
      </c>
      <c r="I604" s="142" t="s">
        <v>2777</v>
      </c>
      <c r="J604" s="142" t="s">
        <v>1788</v>
      </c>
      <c r="K604" s="142" t="s">
        <v>707</v>
      </c>
      <c r="L604" s="142" t="s">
        <v>1789</v>
      </c>
      <c r="N604" s="91">
        <f t="shared" si="20"/>
        <v>1</v>
      </c>
      <c r="O604" s="79" t="s">
        <v>1877</v>
      </c>
      <c r="P604" s="79" t="s">
        <v>1877</v>
      </c>
      <c r="Q604" s="79" t="s">
        <v>1876</v>
      </c>
      <c r="R604" s="79" t="s">
        <v>2770</v>
      </c>
      <c r="S604" s="79" t="s">
        <v>2827</v>
      </c>
      <c r="T604" s="79" t="s">
        <v>1878</v>
      </c>
      <c r="U604" s="79" t="s">
        <v>1879</v>
      </c>
      <c r="V604" s="79" t="s">
        <v>707</v>
      </c>
      <c r="W604" s="79" t="s">
        <v>1880</v>
      </c>
      <c r="Y604" s="79" t="s">
        <v>1876</v>
      </c>
    </row>
    <row r="605" spans="2:25" ht="12.75" customHeight="1" x14ac:dyDescent="0.2">
      <c r="B605" s="142" t="s">
        <v>1877</v>
      </c>
      <c r="C605" s="142" t="s">
        <v>1877</v>
      </c>
      <c r="D605" s="142" t="s">
        <v>1876</v>
      </c>
      <c r="E605" s="107" t="str">
        <f t="shared" si="19"/>
        <v>HARRISON, OH, 45030</v>
      </c>
      <c r="F605" s="142" t="s">
        <v>1876</v>
      </c>
      <c r="G605" s="142" t="s">
        <v>1878</v>
      </c>
      <c r="H605" s="142" t="s">
        <v>2770</v>
      </c>
      <c r="I605" s="142" t="s">
        <v>2827</v>
      </c>
      <c r="J605" s="142" t="s">
        <v>1879</v>
      </c>
      <c r="K605" s="142" t="s">
        <v>707</v>
      </c>
      <c r="L605" s="142" t="s">
        <v>1880</v>
      </c>
      <c r="N605" s="91">
        <f t="shared" si="20"/>
        <v>1</v>
      </c>
      <c r="O605" s="79" t="s">
        <v>1672</v>
      </c>
      <c r="P605" s="79" t="s">
        <v>1672</v>
      </c>
      <c r="Q605" s="79" t="s">
        <v>1671</v>
      </c>
      <c r="R605" s="79" t="s">
        <v>2834</v>
      </c>
      <c r="S605" s="79" t="s">
        <v>2835</v>
      </c>
      <c r="T605" s="79" t="s">
        <v>1673</v>
      </c>
      <c r="U605" s="79" t="s">
        <v>1669</v>
      </c>
      <c r="V605" s="79" t="s">
        <v>707</v>
      </c>
      <c r="W605" s="79" t="s">
        <v>1670</v>
      </c>
      <c r="Y605" s="79" t="s">
        <v>1671</v>
      </c>
    </row>
    <row r="606" spans="2:25" ht="12.75" customHeight="1" x14ac:dyDescent="0.2">
      <c r="B606" s="142" t="s">
        <v>1672</v>
      </c>
      <c r="C606" s="142" t="s">
        <v>1672</v>
      </c>
      <c r="D606" s="142" t="s">
        <v>1671</v>
      </c>
      <c r="E606" s="107" t="str">
        <f t="shared" si="19"/>
        <v>CIRCLEVILLE, OH, 43113</v>
      </c>
      <c r="F606" s="142" t="s">
        <v>1671</v>
      </c>
      <c r="G606" s="142" t="s">
        <v>1673</v>
      </c>
      <c r="H606" s="142" t="s">
        <v>2834</v>
      </c>
      <c r="I606" s="142" t="s">
        <v>2835</v>
      </c>
      <c r="J606" s="142" t="s">
        <v>1669</v>
      </c>
      <c r="K606" s="142" t="s">
        <v>707</v>
      </c>
      <c r="L606" s="142" t="s">
        <v>1670</v>
      </c>
      <c r="N606" s="91">
        <f t="shared" si="20"/>
        <v>1</v>
      </c>
      <c r="O606" s="79" t="s">
        <v>1582</v>
      </c>
      <c r="P606" s="79" t="s">
        <v>1582</v>
      </c>
      <c r="Q606" s="79" t="s">
        <v>1581</v>
      </c>
      <c r="R606" s="79" t="s">
        <v>2786</v>
      </c>
      <c r="S606" s="79" t="s">
        <v>2793</v>
      </c>
      <c r="T606" s="79" t="s">
        <v>1583</v>
      </c>
      <c r="U606" s="79" t="s">
        <v>743</v>
      </c>
      <c r="V606" s="79" t="s">
        <v>707</v>
      </c>
      <c r="W606" s="79" t="s">
        <v>744</v>
      </c>
      <c r="Y606" s="79" t="s">
        <v>1581</v>
      </c>
    </row>
    <row r="607" spans="2:25" ht="12.75" customHeight="1" x14ac:dyDescent="0.2">
      <c r="B607" s="142" t="s">
        <v>1582</v>
      </c>
      <c r="C607" s="142" t="s">
        <v>1582</v>
      </c>
      <c r="D607" s="142" t="s">
        <v>1581</v>
      </c>
      <c r="E607" s="107" t="str">
        <f t="shared" si="19"/>
        <v>COSHOCTON, OH, 43812</v>
      </c>
      <c r="F607" s="142" t="s">
        <v>1581</v>
      </c>
      <c r="G607" s="142" t="s">
        <v>1583</v>
      </c>
      <c r="H607" s="142" t="s">
        <v>2786</v>
      </c>
      <c r="I607" s="142" t="s">
        <v>2793</v>
      </c>
      <c r="J607" s="142" t="s">
        <v>743</v>
      </c>
      <c r="K607" s="142" t="s">
        <v>707</v>
      </c>
      <c r="L607" s="142" t="s">
        <v>744</v>
      </c>
      <c r="N607" s="91">
        <f t="shared" si="20"/>
        <v>1</v>
      </c>
      <c r="O607" s="79" t="s">
        <v>803</v>
      </c>
      <c r="P607" s="79" t="s">
        <v>803</v>
      </c>
      <c r="Q607" s="79" t="s">
        <v>802</v>
      </c>
      <c r="R607" s="79" t="s">
        <v>2804</v>
      </c>
      <c r="S607" s="79" t="s">
        <v>2813</v>
      </c>
      <c r="T607" s="79" t="s">
        <v>804</v>
      </c>
      <c r="U607" s="79" t="s">
        <v>728</v>
      </c>
      <c r="V607" s="79" t="s">
        <v>707</v>
      </c>
      <c r="W607" s="79" t="s">
        <v>729</v>
      </c>
      <c r="Y607" s="79" t="s">
        <v>802</v>
      </c>
    </row>
    <row r="608" spans="2:25" ht="12.75" customHeight="1" x14ac:dyDescent="0.2">
      <c r="B608" s="142" t="s">
        <v>803</v>
      </c>
      <c r="C608" s="142" t="s">
        <v>803</v>
      </c>
      <c r="D608" s="142" t="s">
        <v>802</v>
      </c>
      <c r="E608" s="107" t="str">
        <f t="shared" si="19"/>
        <v>CAREY, OH, 43316</v>
      </c>
      <c r="F608" s="142" t="s">
        <v>802</v>
      </c>
      <c r="G608" s="142" t="s">
        <v>804</v>
      </c>
      <c r="H608" s="142" t="s">
        <v>2804</v>
      </c>
      <c r="I608" s="142" t="s">
        <v>2813</v>
      </c>
      <c r="J608" s="142" t="s">
        <v>728</v>
      </c>
      <c r="K608" s="142" t="s">
        <v>707</v>
      </c>
      <c r="L608" s="142" t="s">
        <v>729</v>
      </c>
      <c r="N608" s="91">
        <f t="shared" si="20"/>
        <v>1</v>
      </c>
      <c r="O608" s="79" t="s">
        <v>815</v>
      </c>
      <c r="P608" s="79" t="s">
        <v>815</v>
      </c>
      <c r="Q608" s="79" t="s">
        <v>814</v>
      </c>
      <c r="R608" s="79" t="s">
        <v>2762</v>
      </c>
      <c r="S608" s="79" t="s">
        <v>2766</v>
      </c>
      <c r="T608" s="79" t="s">
        <v>816</v>
      </c>
      <c r="U608" s="79" t="s">
        <v>817</v>
      </c>
      <c r="V608" s="79" t="s">
        <v>707</v>
      </c>
      <c r="W608" s="79" t="s">
        <v>818</v>
      </c>
      <c r="Y608" s="79" t="s">
        <v>814</v>
      </c>
    </row>
    <row r="609" spans="2:25" ht="12.75" customHeight="1" x14ac:dyDescent="0.2">
      <c r="B609" s="142" t="s">
        <v>815</v>
      </c>
      <c r="C609" s="142" t="s">
        <v>815</v>
      </c>
      <c r="D609" s="142" t="s">
        <v>814</v>
      </c>
      <c r="E609" s="107" t="str">
        <f t="shared" si="19"/>
        <v>ALLIANCE, OH, 44601</v>
      </c>
      <c r="F609" s="142" t="s">
        <v>814</v>
      </c>
      <c r="G609" s="142" t="s">
        <v>816</v>
      </c>
      <c r="H609" s="142" t="s">
        <v>2762</v>
      </c>
      <c r="I609" s="142" t="s">
        <v>2766</v>
      </c>
      <c r="J609" s="142" t="s">
        <v>817</v>
      </c>
      <c r="K609" s="142" t="s">
        <v>707</v>
      </c>
      <c r="L609" s="142" t="s">
        <v>818</v>
      </c>
      <c r="N609" s="91">
        <f t="shared" si="20"/>
        <v>1</v>
      </c>
      <c r="O609" s="79" t="s">
        <v>846</v>
      </c>
      <c r="P609" s="79" t="s">
        <v>846</v>
      </c>
      <c r="Q609" s="79" t="s">
        <v>845</v>
      </c>
      <c r="R609" s="79" t="s">
        <v>2786</v>
      </c>
      <c r="S609" s="79" t="s">
        <v>2795</v>
      </c>
      <c r="T609" s="79" t="s">
        <v>847</v>
      </c>
      <c r="U609" s="79" t="s">
        <v>848</v>
      </c>
      <c r="V609" s="79" t="s">
        <v>707</v>
      </c>
      <c r="W609" s="79" t="s">
        <v>849</v>
      </c>
      <c r="Y609" s="79" t="s">
        <v>845</v>
      </c>
    </row>
    <row r="610" spans="2:25" ht="12.75" customHeight="1" x14ac:dyDescent="0.2">
      <c r="B610" s="142" t="s">
        <v>846</v>
      </c>
      <c r="C610" s="142" t="s">
        <v>846</v>
      </c>
      <c r="D610" s="142" t="s">
        <v>845</v>
      </c>
      <c r="E610" s="107" t="str">
        <f t="shared" si="19"/>
        <v>DERWENT, OH, 43733</v>
      </c>
      <c r="F610" s="142" t="s">
        <v>845</v>
      </c>
      <c r="G610" s="142" t="s">
        <v>847</v>
      </c>
      <c r="H610" s="142" t="s">
        <v>2786</v>
      </c>
      <c r="I610" s="142" t="s">
        <v>2795</v>
      </c>
      <c r="J610" s="142" t="s">
        <v>848</v>
      </c>
      <c r="K610" s="142" t="s">
        <v>707</v>
      </c>
      <c r="L610" s="142" t="s">
        <v>849</v>
      </c>
      <c r="N610" s="91">
        <f t="shared" si="20"/>
        <v>1</v>
      </c>
      <c r="O610" s="79" t="s">
        <v>841</v>
      </c>
      <c r="P610" s="79" t="s">
        <v>841</v>
      </c>
      <c r="Q610" s="79" t="s">
        <v>840</v>
      </c>
      <c r="R610" s="79" t="s">
        <v>2759</v>
      </c>
      <c r="S610" s="79" t="s">
        <v>2760</v>
      </c>
      <c r="T610" s="79" t="s">
        <v>842</v>
      </c>
      <c r="U610" s="79" t="s">
        <v>843</v>
      </c>
      <c r="V610" s="79" t="s">
        <v>707</v>
      </c>
      <c r="W610" s="79" t="s">
        <v>844</v>
      </c>
      <c r="Y610" s="79" t="s">
        <v>840</v>
      </c>
    </row>
    <row r="611" spans="2:25" ht="12.75" customHeight="1" x14ac:dyDescent="0.2">
      <c r="B611" s="142" t="s">
        <v>841</v>
      </c>
      <c r="C611" s="142" t="s">
        <v>841</v>
      </c>
      <c r="D611" s="142" t="s">
        <v>840</v>
      </c>
      <c r="E611" s="107" t="str">
        <f t="shared" si="19"/>
        <v>CLEVELAND, OH, 44135</v>
      </c>
      <c r="F611" s="142" t="s">
        <v>840</v>
      </c>
      <c r="G611" s="142" t="s">
        <v>842</v>
      </c>
      <c r="H611" s="142" t="s">
        <v>2759</v>
      </c>
      <c r="I611" s="142" t="s">
        <v>2760</v>
      </c>
      <c r="J611" s="142" t="s">
        <v>843</v>
      </c>
      <c r="K611" s="142" t="s">
        <v>707</v>
      </c>
      <c r="L611" s="142" t="s">
        <v>844</v>
      </c>
      <c r="N611" s="91">
        <f t="shared" si="20"/>
        <v>1</v>
      </c>
      <c r="O611" s="79" t="s">
        <v>811</v>
      </c>
      <c r="P611" s="79" t="s">
        <v>811</v>
      </c>
      <c r="Q611" s="79" t="s">
        <v>810</v>
      </c>
      <c r="R611" s="79" t="s">
        <v>2762</v>
      </c>
      <c r="S611" s="79" t="s">
        <v>2763</v>
      </c>
      <c r="T611" s="79" t="s">
        <v>812</v>
      </c>
      <c r="U611" s="79" t="s">
        <v>808</v>
      </c>
      <c r="V611" s="79" t="s">
        <v>707</v>
      </c>
      <c r="W611" s="79" t="s">
        <v>813</v>
      </c>
      <c r="Y611" s="79" t="s">
        <v>810</v>
      </c>
    </row>
    <row r="612" spans="2:25" ht="12.75" customHeight="1" x14ac:dyDescent="0.2">
      <c r="B612" s="142" t="s">
        <v>811</v>
      </c>
      <c r="C612" s="142" t="s">
        <v>811</v>
      </c>
      <c r="D612" s="142" t="s">
        <v>810</v>
      </c>
      <c r="E612" s="107" t="str">
        <f t="shared" si="19"/>
        <v>Lordstown, OH, 44481</v>
      </c>
      <c r="F612" s="142" t="s">
        <v>810</v>
      </c>
      <c r="G612" s="142" t="s">
        <v>3061</v>
      </c>
      <c r="H612" s="142" t="s">
        <v>2762</v>
      </c>
      <c r="I612" s="142" t="s">
        <v>2763</v>
      </c>
      <c r="J612" s="142" t="s">
        <v>3062</v>
      </c>
      <c r="K612" s="142" t="s">
        <v>707</v>
      </c>
      <c r="L612" s="142" t="s">
        <v>1394</v>
      </c>
      <c r="N612" s="91">
        <f t="shared" si="20"/>
        <v>1</v>
      </c>
      <c r="O612" s="79" t="s">
        <v>830</v>
      </c>
      <c r="P612" s="79" t="s">
        <v>830</v>
      </c>
      <c r="Q612" s="79" t="s">
        <v>829</v>
      </c>
      <c r="R612" s="79" t="s">
        <v>2762</v>
      </c>
      <c r="S612" s="79" t="s">
        <v>2769</v>
      </c>
      <c r="T612" s="79" t="s">
        <v>831</v>
      </c>
      <c r="U612" s="79" t="s">
        <v>808</v>
      </c>
      <c r="V612" s="79" t="s">
        <v>707</v>
      </c>
      <c r="W612" s="79" t="s">
        <v>809</v>
      </c>
      <c r="Y612" s="79" t="s">
        <v>829</v>
      </c>
    </row>
    <row r="613" spans="2:25" ht="12.75" customHeight="1" x14ac:dyDescent="0.2">
      <c r="B613" s="142" t="s">
        <v>830</v>
      </c>
      <c r="C613" s="142" t="s">
        <v>830</v>
      </c>
      <c r="D613" s="142" t="s">
        <v>829</v>
      </c>
      <c r="E613" s="107" t="str">
        <f t="shared" si="19"/>
        <v>YOUNGSTOWN, OH, 44514</v>
      </c>
      <c r="F613" s="142" t="s">
        <v>829</v>
      </c>
      <c r="G613" s="142" t="s">
        <v>831</v>
      </c>
      <c r="H613" s="142" t="s">
        <v>2762</v>
      </c>
      <c r="I613" s="142" t="s">
        <v>2769</v>
      </c>
      <c r="J613" s="142" t="s">
        <v>808</v>
      </c>
      <c r="K613" s="142" t="s">
        <v>707</v>
      </c>
      <c r="L613" s="142" t="s">
        <v>809</v>
      </c>
      <c r="N613" s="91">
        <f t="shared" si="20"/>
        <v>1</v>
      </c>
      <c r="O613" s="79" t="s">
        <v>833</v>
      </c>
      <c r="P613" s="79" t="s">
        <v>833</v>
      </c>
      <c r="Q613" s="79" t="s">
        <v>832</v>
      </c>
      <c r="R613" s="79" t="s">
        <v>2767</v>
      </c>
      <c r="S613" s="79" t="s">
        <v>2768</v>
      </c>
      <c r="T613" s="79" t="s">
        <v>834</v>
      </c>
      <c r="U613" s="79" t="s">
        <v>835</v>
      </c>
      <c r="V613" s="79" t="s">
        <v>707</v>
      </c>
      <c r="W613" s="79" t="s">
        <v>836</v>
      </c>
      <c r="Y613" s="79" t="s">
        <v>832</v>
      </c>
    </row>
    <row r="614" spans="2:25" ht="12.75" customHeight="1" x14ac:dyDescent="0.2">
      <c r="B614" s="142" t="s">
        <v>833</v>
      </c>
      <c r="C614" s="142" t="s">
        <v>833</v>
      </c>
      <c r="D614" s="142" t="s">
        <v>832</v>
      </c>
      <c r="E614" s="107" t="str">
        <f t="shared" si="19"/>
        <v>MEDINA, OH, 44256</v>
      </c>
      <c r="F614" s="142" t="s">
        <v>832</v>
      </c>
      <c r="G614" s="142" t="s">
        <v>834</v>
      </c>
      <c r="H614" s="142" t="s">
        <v>2767</v>
      </c>
      <c r="I614" s="142" t="s">
        <v>2768</v>
      </c>
      <c r="J614" s="142" t="s">
        <v>835</v>
      </c>
      <c r="K614" s="142" t="s">
        <v>707</v>
      </c>
      <c r="L614" s="142" t="s">
        <v>836</v>
      </c>
      <c r="N614" s="91">
        <f t="shared" si="20"/>
        <v>1</v>
      </c>
      <c r="O614" s="79" t="s">
        <v>825</v>
      </c>
      <c r="P614" s="79" t="s">
        <v>825</v>
      </c>
      <c r="Q614" s="79" t="s">
        <v>824</v>
      </c>
      <c r="R614" s="79" t="s">
        <v>2762</v>
      </c>
      <c r="S614" s="79" t="s">
        <v>2763</v>
      </c>
      <c r="T614" s="79" t="s">
        <v>826</v>
      </c>
      <c r="U614" s="79" t="s">
        <v>827</v>
      </c>
      <c r="V614" s="79" t="s">
        <v>707</v>
      </c>
      <c r="W614" s="79" t="s">
        <v>828</v>
      </c>
      <c r="Y614" s="79" t="s">
        <v>824</v>
      </c>
    </row>
    <row r="615" spans="2:25" ht="12.75" customHeight="1" x14ac:dyDescent="0.2">
      <c r="B615" s="142" t="s">
        <v>825</v>
      </c>
      <c r="C615" s="142" t="s">
        <v>825</v>
      </c>
      <c r="D615" s="142" t="s">
        <v>824</v>
      </c>
      <c r="E615" s="107" t="str">
        <f t="shared" si="19"/>
        <v>COPLEY, OH, 44321</v>
      </c>
      <c r="F615" s="142" t="s">
        <v>824</v>
      </c>
      <c r="G615" s="142" t="s">
        <v>826</v>
      </c>
      <c r="H615" s="142" t="s">
        <v>2762</v>
      </c>
      <c r="I615" s="142" t="s">
        <v>2763</v>
      </c>
      <c r="J615" s="142" t="s">
        <v>827</v>
      </c>
      <c r="K615" s="142" t="s">
        <v>707</v>
      </c>
      <c r="L615" s="142" t="s">
        <v>828</v>
      </c>
      <c r="N615" s="91">
        <f t="shared" si="20"/>
        <v>1</v>
      </c>
      <c r="O615" s="79" t="s">
        <v>820</v>
      </c>
      <c r="P615" s="79" t="s">
        <v>820</v>
      </c>
      <c r="Q615" s="79" t="s">
        <v>819</v>
      </c>
      <c r="R615" s="79" t="s">
        <v>2762</v>
      </c>
      <c r="S615" s="79" t="s">
        <v>2774</v>
      </c>
      <c r="T615" s="79" t="s">
        <v>821</v>
      </c>
      <c r="U615" s="79" t="s">
        <v>822</v>
      </c>
      <c r="V615" s="79" t="s">
        <v>707</v>
      </c>
      <c r="W615" s="79" t="s">
        <v>823</v>
      </c>
      <c r="Y615" s="79" t="s">
        <v>819</v>
      </c>
    </row>
    <row r="616" spans="2:25" ht="12.75" customHeight="1" x14ac:dyDescent="0.2">
      <c r="B616" s="142" t="s">
        <v>820</v>
      </c>
      <c r="C616" s="142" t="s">
        <v>820</v>
      </c>
      <c r="D616" s="142" t="s">
        <v>819</v>
      </c>
      <c r="E616" s="107" t="str">
        <f t="shared" si="19"/>
        <v>KENT, OH, 44240</v>
      </c>
      <c r="F616" s="142" t="s">
        <v>819</v>
      </c>
      <c r="G616" s="142" t="s">
        <v>821</v>
      </c>
      <c r="H616" s="142" t="s">
        <v>2762</v>
      </c>
      <c r="I616" s="142" t="s">
        <v>2774</v>
      </c>
      <c r="J616" s="142" t="s">
        <v>822</v>
      </c>
      <c r="K616" s="142" t="s">
        <v>707</v>
      </c>
      <c r="L616" s="142" t="s">
        <v>823</v>
      </c>
      <c r="N616" s="91">
        <f t="shared" si="20"/>
        <v>1</v>
      </c>
      <c r="O616" s="79" t="s">
        <v>1197</v>
      </c>
      <c r="P616" s="79" t="s">
        <v>1197</v>
      </c>
      <c r="Q616" s="79" t="s">
        <v>1196</v>
      </c>
      <c r="R616" s="79" t="s">
        <v>2772</v>
      </c>
      <c r="S616" s="79" t="s">
        <v>2806</v>
      </c>
      <c r="T616" s="79" t="s">
        <v>1198</v>
      </c>
      <c r="U616" s="79" t="s">
        <v>940</v>
      </c>
      <c r="V616" s="79" t="s">
        <v>707</v>
      </c>
      <c r="W616" s="79" t="s">
        <v>941</v>
      </c>
      <c r="Y616" s="79" t="s">
        <v>1196</v>
      </c>
    </row>
    <row r="617" spans="2:25" ht="12.75" customHeight="1" x14ac:dyDescent="0.2">
      <c r="B617" s="142" t="s">
        <v>1197</v>
      </c>
      <c r="C617" s="142" t="s">
        <v>1197</v>
      </c>
      <c r="D617" s="142" t="s">
        <v>1196</v>
      </c>
      <c r="E617" s="107" t="str">
        <f t="shared" si="19"/>
        <v>PERRYSBURG, OH, 43551</v>
      </c>
      <c r="F617" s="142" t="s">
        <v>1196</v>
      </c>
      <c r="G617" s="142" t="s">
        <v>1198</v>
      </c>
      <c r="H617" s="142" t="s">
        <v>2772</v>
      </c>
      <c r="I617" s="142" t="s">
        <v>2806</v>
      </c>
      <c r="J617" s="142" t="s">
        <v>940</v>
      </c>
      <c r="K617" s="142" t="s">
        <v>707</v>
      </c>
      <c r="L617" s="142" t="s">
        <v>941</v>
      </c>
      <c r="N617" s="91">
        <f t="shared" si="20"/>
        <v>1</v>
      </c>
      <c r="O617" s="79" t="s">
        <v>1882</v>
      </c>
      <c r="P617" s="79" t="s">
        <v>1882</v>
      </c>
      <c r="Q617" s="79" t="s">
        <v>1881</v>
      </c>
      <c r="R617" s="79" t="s">
        <v>2770</v>
      </c>
      <c r="S617" s="79" t="s">
        <v>2855</v>
      </c>
      <c r="T617" s="79" t="s">
        <v>1883</v>
      </c>
      <c r="U617" s="79" t="s">
        <v>1884</v>
      </c>
      <c r="V617" s="79" t="s">
        <v>707</v>
      </c>
      <c r="W617" s="79" t="s">
        <v>1885</v>
      </c>
      <c r="Y617" s="79" t="s">
        <v>1881</v>
      </c>
    </row>
    <row r="618" spans="2:25" ht="12.75" customHeight="1" x14ac:dyDescent="0.2">
      <c r="B618" s="142" t="s">
        <v>1882</v>
      </c>
      <c r="C618" s="142" t="s">
        <v>1882</v>
      </c>
      <c r="D618" s="142" t="s">
        <v>1881</v>
      </c>
      <c r="E618" s="107" t="str">
        <f t="shared" si="19"/>
        <v>CAMDEN, OH, 45311</v>
      </c>
      <c r="F618" s="142" t="s">
        <v>1881</v>
      </c>
      <c r="G618" s="142" t="s">
        <v>1883</v>
      </c>
      <c r="H618" s="142" t="s">
        <v>2770</v>
      </c>
      <c r="I618" s="142" t="s">
        <v>2855</v>
      </c>
      <c r="J618" s="142" t="s">
        <v>1884</v>
      </c>
      <c r="K618" s="142" t="s">
        <v>707</v>
      </c>
      <c r="L618" s="142" t="s">
        <v>1885</v>
      </c>
      <c r="N618" s="91">
        <f t="shared" si="20"/>
        <v>1</v>
      </c>
      <c r="O618" s="79" t="s">
        <v>1887</v>
      </c>
      <c r="P618" s="79" t="s">
        <v>1887</v>
      </c>
      <c r="Q618" s="79" t="s">
        <v>1886</v>
      </c>
      <c r="R618" s="79" t="s">
        <v>2770</v>
      </c>
      <c r="S618" s="79" t="s">
        <v>2855</v>
      </c>
      <c r="T618" s="79" t="s">
        <v>1888</v>
      </c>
      <c r="U618" s="79" t="s">
        <v>1889</v>
      </c>
      <c r="V618" s="79" t="s">
        <v>707</v>
      </c>
      <c r="W618" s="79" t="s">
        <v>1890</v>
      </c>
      <c r="Y618" s="79" t="s">
        <v>1886</v>
      </c>
    </row>
    <row r="619" spans="2:25" ht="12.75" customHeight="1" x14ac:dyDescent="0.2">
      <c r="B619" s="142" t="s">
        <v>1887</v>
      </c>
      <c r="C619" s="142" t="s">
        <v>1887</v>
      </c>
      <c r="D619" s="142" t="s">
        <v>1886</v>
      </c>
      <c r="E619" s="107" t="str">
        <f t="shared" si="19"/>
        <v>WEST ALEXANDRIA, OH, 45381</v>
      </c>
      <c r="F619" s="142" t="s">
        <v>1886</v>
      </c>
      <c r="G619" s="142" t="s">
        <v>1888</v>
      </c>
      <c r="H619" s="142" t="s">
        <v>2770</v>
      </c>
      <c r="I619" s="142" t="s">
        <v>2855</v>
      </c>
      <c r="J619" s="142" t="s">
        <v>1889</v>
      </c>
      <c r="K619" s="142" t="s">
        <v>707</v>
      </c>
      <c r="L619" s="142" t="s">
        <v>1890</v>
      </c>
      <c r="N619" s="91">
        <f t="shared" si="20"/>
        <v>1</v>
      </c>
      <c r="O619" s="79" t="s">
        <v>2395</v>
      </c>
      <c r="P619" s="79" t="s">
        <v>2395</v>
      </c>
      <c r="Q619" s="79" t="s">
        <v>2394</v>
      </c>
      <c r="R619" s="79" t="s">
        <v>2791</v>
      </c>
      <c r="S619" s="79" t="s">
        <v>2853</v>
      </c>
      <c r="T619" s="79" t="s">
        <v>2396</v>
      </c>
      <c r="U619" s="79" t="s">
        <v>2397</v>
      </c>
      <c r="V619" s="79" t="s">
        <v>707</v>
      </c>
      <c r="W619" s="79" t="s">
        <v>2398</v>
      </c>
      <c r="Y619" s="79" t="s">
        <v>2394</v>
      </c>
    </row>
    <row r="620" spans="2:25" ht="12.75" customHeight="1" x14ac:dyDescent="0.2">
      <c r="B620" s="142" t="s">
        <v>2395</v>
      </c>
      <c r="C620" s="142" t="s">
        <v>2395</v>
      </c>
      <c r="D620" s="142" t="s">
        <v>2394</v>
      </c>
      <c r="E620" s="107" t="str">
        <f t="shared" si="19"/>
        <v>NEGLEY, OH, 44441</v>
      </c>
      <c r="F620" s="142" t="s">
        <v>2394</v>
      </c>
      <c r="G620" s="142" t="s">
        <v>2396</v>
      </c>
      <c r="H620" s="142" t="s">
        <v>2791</v>
      </c>
      <c r="I620" s="142" t="s">
        <v>2853</v>
      </c>
      <c r="J620" s="142" t="s">
        <v>2397</v>
      </c>
      <c r="K620" s="142" t="s">
        <v>707</v>
      </c>
      <c r="L620" s="142" t="s">
        <v>2398</v>
      </c>
      <c r="N620" s="91">
        <f t="shared" si="20"/>
        <v>1</v>
      </c>
      <c r="O620" s="79" t="s">
        <v>2084</v>
      </c>
      <c r="P620" s="79" t="s">
        <v>2084</v>
      </c>
      <c r="Q620" s="79" t="s">
        <v>2083</v>
      </c>
      <c r="R620" s="79" t="s">
        <v>2791</v>
      </c>
      <c r="S620" s="79" t="s">
        <v>1489</v>
      </c>
      <c r="T620" s="79" t="s">
        <v>1487</v>
      </c>
      <c r="U620" s="79" t="s">
        <v>1488</v>
      </c>
      <c r="V620" s="79" t="s">
        <v>1489</v>
      </c>
      <c r="W620" s="79" t="s">
        <v>1490</v>
      </c>
      <c r="Y620" s="79" t="s">
        <v>2083</v>
      </c>
    </row>
    <row r="621" spans="2:25" ht="12.75" customHeight="1" x14ac:dyDescent="0.2">
      <c r="B621" s="142" t="s">
        <v>3107</v>
      </c>
      <c r="C621" s="142" t="s">
        <v>3107</v>
      </c>
      <c r="D621" s="142" t="s">
        <v>3108</v>
      </c>
      <c r="E621" s="107" t="str">
        <f t="shared" si="19"/>
        <v>BENWOOD, WV, 26031</v>
      </c>
      <c r="F621" s="142" t="s">
        <v>3108</v>
      </c>
      <c r="G621" s="142" t="s">
        <v>1987</v>
      </c>
      <c r="H621" s="142" t="s">
        <v>2770</v>
      </c>
      <c r="I621" s="142" t="s">
        <v>2764</v>
      </c>
      <c r="J621" s="142" t="s">
        <v>1988</v>
      </c>
      <c r="K621" s="142" t="s">
        <v>1489</v>
      </c>
      <c r="L621" s="142" t="s">
        <v>1989</v>
      </c>
      <c r="N621" s="91">
        <f t="shared" si="20"/>
        <v>1</v>
      </c>
      <c r="O621" s="79" t="s">
        <v>1209</v>
      </c>
      <c r="P621" s="79" t="s">
        <v>1209</v>
      </c>
      <c r="Q621" s="79" t="s">
        <v>1208</v>
      </c>
      <c r="R621" s="79" t="s">
        <v>2767</v>
      </c>
      <c r="S621" s="79" t="s">
        <v>2768</v>
      </c>
      <c r="T621" s="79" t="s">
        <v>834</v>
      </c>
      <c r="U621" s="79" t="s">
        <v>835</v>
      </c>
      <c r="V621" s="79" t="s">
        <v>707</v>
      </c>
      <c r="W621" s="79" t="s">
        <v>836</v>
      </c>
      <c r="Y621" s="79" t="s">
        <v>1208</v>
      </c>
    </row>
    <row r="622" spans="2:25" ht="12.75" customHeight="1" x14ac:dyDescent="0.2">
      <c r="B622" s="142" t="s">
        <v>2084</v>
      </c>
      <c r="C622" s="142" t="s">
        <v>2084</v>
      </c>
      <c r="D622" s="142" t="s">
        <v>2083</v>
      </c>
      <c r="E622" s="107" t="str">
        <f t="shared" si="19"/>
        <v>WEIRTON, WV, 26062</v>
      </c>
      <c r="F622" s="142" t="s">
        <v>2083</v>
      </c>
      <c r="G622" s="142" t="s">
        <v>1487</v>
      </c>
      <c r="H622" s="142" t="s">
        <v>2791</v>
      </c>
      <c r="I622" s="142" t="s">
        <v>1489</v>
      </c>
      <c r="J622" s="142" t="s">
        <v>1488</v>
      </c>
      <c r="K622" s="142" t="s">
        <v>1489</v>
      </c>
      <c r="L622" s="142" t="s">
        <v>1490</v>
      </c>
      <c r="N622" s="91">
        <f t="shared" si="20"/>
        <v>1</v>
      </c>
      <c r="O622" s="79" t="s">
        <v>1204</v>
      </c>
      <c r="P622" s="79" t="s">
        <v>1204</v>
      </c>
      <c r="Q622" s="79" t="s">
        <v>1203</v>
      </c>
      <c r="R622" s="79" t="s">
        <v>2767</v>
      </c>
      <c r="S622" s="79" t="s">
        <v>2856</v>
      </c>
      <c r="T622" s="79" t="s">
        <v>1205</v>
      </c>
      <c r="U622" s="79" t="s">
        <v>1206</v>
      </c>
      <c r="V622" s="79" t="s">
        <v>707</v>
      </c>
      <c r="W622" s="79" t="s">
        <v>1207</v>
      </c>
      <c r="Y622" s="79" t="s">
        <v>1203</v>
      </c>
    </row>
    <row r="623" spans="2:25" ht="12.75" customHeight="1" x14ac:dyDescent="0.2">
      <c r="B623" s="142" t="s">
        <v>1209</v>
      </c>
      <c r="C623" s="142" t="s">
        <v>1209</v>
      </c>
      <c r="D623" s="142" t="s">
        <v>1208</v>
      </c>
      <c r="E623" s="107" t="str">
        <f t="shared" si="19"/>
        <v>MEDINA, OH, 44256</v>
      </c>
      <c r="F623" s="142" t="s">
        <v>1208</v>
      </c>
      <c r="G623" s="142" t="s">
        <v>834</v>
      </c>
      <c r="H623" s="142" t="s">
        <v>2767</v>
      </c>
      <c r="I623" s="142" t="s">
        <v>2768</v>
      </c>
      <c r="J623" s="142" t="s">
        <v>835</v>
      </c>
      <c r="K623" s="142" t="s">
        <v>707</v>
      </c>
      <c r="L623" s="142" t="s">
        <v>836</v>
      </c>
    </row>
    <row r="624" spans="2:25" ht="12.75" customHeight="1" x14ac:dyDescent="0.2">
      <c r="B624" s="142" t="s">
        <v>1204</v>
      </c>
      <c r="C624" s="142" t="s">
        <v>1204</v>
      </c>
      <c r="D624" s="142" t="s">
        <v>1203</v>
      </c>
      <c r="E624" s="107" t="str">
        <f t="shared" si="19"/>
        <v>LOUDONVILLE, OH, 44842</v>
      </c>
      <c r="F624" s="142" t="s">
        <v>1203</v>
      </c>
      <c r="G624" s="142" t="s">
        <v>1205</v>
      </c>
      <c r="H624" s="142" t="s">
        <v>2767</v>
      </c>
      <c r="I624" s="142" t="s">
        <v>2856</v>
      </c>
      <c r="J624" s="142" t="s">
        <v>1206</v>
      </c>
      <c r="K624" s="142" t="s">
        <v>707</v>
      </c>
      <c r="L624" s="142" t="s">
        <v>1207</v>
      </c>
    </row>
    <row r="627" spans="25:25" ht="12.75" customHeight="1" x14ac:dyDescent="0.2">
      <c r="Y627" s="80" t="s">
        <v>2750</v>
      </c>
    </row>
    <row r="628" spans="25:25" ht="12.75" customHeight="1" x14ac:dyDescent="0.2">
      <c r="Y628" s="79" t="s">
        <v>2563</v>
      </c>
    </row>
    <row r="629" spans="25:25" ht="12.75" customHeight="1" x14ac:dyDescent="0.2">
      <c r="Y629" s="79" t="s">
        <v>2554</v>
      </c>
    </row>
    <row r="630" spans="25:25" ht="12.75" customHeight="1" x14ac:dyDescent="0.2">
      <c r="Y630" s="79" t="s">
        <v>1342</v>
      </c>
    </row>
    <row r="631" spans="25:25" ht="12.75" customHeight="1" x14ac:dyDescent="0.2">
      <c r="Y631" s="79" t="s">
        <v>2558</v>
      </c>
    </row>
    <row r="632" spans="25:25" ht="12.75" customHeight="1" x14ac:dyDescent="0.2">
      <c r="Y632" s="79" t="s">
        <v>2571</v>
      </c>
    </row>
    <row r="633" spans="25:25" ht="12.75" customHeight="1" x14ac:dyDescent="0.2">
      <c r="Y633" s="79" t="s">
        <v>1454</v>
      </c>
    </row>
    <row r="634" spans="25:25" ht="12.75" customHeight="1" x14ac:dyDescent="0.2">
      <c r="Y634" s="79" t="s">
        <v>1473</v>
      </c>
    </row>
    <row r="635" spans="25:25" ht="12.75" customHeight="1" x14ac:dyDescent="0.2">
      <c r="Y635" s="79" t="s">
        <v>1433</v>
      </c>
    </row>
    <row r="636" spans="25:25" ht="12.75" customHeight="1" x14ac:dyDescent="0.2">
      <c r="Y636" s="79" t="s">
        <v>1364</v>
      </c>
    </row>
    <row r="637" spans="25:25" ht="12.75" customHeight="1" x14ac:dyDescent="0.2">
      <c r="Y637" s="79" t="s">
        <v>1370</v>
      </c>
    </row>
    <row r="638" spans="25:25" ht="12.75" customHeight="1" x14ac:dyDescent="0.2">
      <c r="Y638" s="79" t="s">
        <v>1368</v>
      </c>
    </row>
    <row r="639" spans="25:25" ht="12.75" customHeight="1" x14ac:dyDescent="0.2">
      <c r="Y639" s="79" t="s">
        <v>1372</v>
      </c>
    </row>
    <row r="640" spans="25:25" ht="12.75" customHeight="1" x14ac:dyDescent="0.2">
      <c r="Y640" s="79" t="s">
        <v>1417</v>
      </c>
    </row>
    <row r="641" spans="25:25" ht="12.75" customHeight="1" x14ac:dyDescent="0.2">
      <c r="Y641" s="79" t="s">
        <v>1420</v>
      </c>
    </row>
    <row r="642" spans="25:25" ht="12.75" customHeight="1" x14ac:dyDescent="0.2">
      <c r="Y642" s="79" t="s">
        <v>1374</v>
      </c>
    </row>
    <row r="643" spans="25:25" ht="12.75" customHeight="1" x14ac:dyDescent="0.2">
      <c r="Y643" s="79" t="s">
        <v>1423</v>
      </c>
    </row>
    <row r="644" spans="25:25" ht="12.75" customHeight="1" x14ac:dyDescent="0.2">
      <c r="Y644" s="79" t="s">
        <v>1451</v>
      </c>
    </row>
    <row r="645" spans="25:25" ht="12.75" customHeight="1" x14ac:dyDescent="0.2">
      <c r="Y645" s="79" t="s">
        <v>1254</v>
      </c>
    </row>
    <row r="646" spans="25:25" ht="12.75" customHeight="1" x14ac:dyDescent="0.2">
      <c r="Y646" s="79" t="s">
        <v>1258</v>
      </c>
    </row>
    <row r="647" spans="25:25" ht="12.75" customHeight="1" x14ac:dyDescent="0.2">
      <c r="Y647" s="79" t="s">
        <v>1260</v>
      </c>
    </row>
    <row r="648" spans="25:25" ht="12.75" customHeight="1" x14ac:dyDescent="0.2">
      <c r="Y648" s="79" t="s">
        <v>2068</v>
      </c>
    </row>
    <row r="649" spans="25:25" ht="12.75" customHeight="1" x14ac:dyDescent="0.2">
      <c r="Y649" s="79" t="s">
        <v>1189</v>
      </c>
    </row>
    <row r="650" spans="25:25" ht="12.75" customHeight="1" x14ac:dyDescent="0.2">
      <c r="Y650" s="79" t="s">
        <v>1192</v>
      </c>
    </row>
    <row r="651" spans="25:25" ht="12.75" customHeight="1" x14ac:dyDescent="0.2">
      <c r="Y651" s="79" t="s">
        <v>1289</v>
      </c>
    </row>
    <row r="652" spans="25:25" ht="12.75" customHeight="1" x14ac:dyDescent="0.2">
      <c r="Y652" s="79" t="s">
        <v>1441</v>
      </c>
    </row>
    <row r="653" spans="25:25" ht="12.75" customHeight="1" x14ac:dyDescent="0.2">
      <c r="Y653" s="79" t="s">
        <v>1740</v>
      </c>
    </row>
    <row r="654" spans="25:25" ht="12.75" customHeight="1" x14ac:dyDescent="0.2">
      <c r="Y654" s="79" t="s">
        <v>2703</v>
      </c>
    </row>
    <row r="655" spans="25:25" ht="12.75" customHeight="1" x14ac:dyDescent="0.2">
      <c r="Y655" s="79" t="s">
        <v>1720</v>
      </c>
    </row>
    <row r="656" spans="25:25" ht="12.75" customHeight="1" x14ac:dyDescent="0.2">
      <c r="Y656" s="79" t="s">
        <v>1702</v>
      </c>
    </row>
    <row r="657" spans="25:25" ht="12.75" customHeight="1" x14ac:dyDescent="0.2">
      <c r="Y657" s="79" t="s">
        <v>1707</v>
      </c>
    </row>
    <row r="658" spans="25:25" ht="12.75" customHeight="1" x14ac:dyDescent="0.2">
      <c r="Y658" s="79" t="s">
        <v>1953</v>
      </c>
    </row>
    <row r="659" spans="25:25" ht="12.75" customHeight="1" x14ac:dyDescent="0.2">
      <c r="Y659" s="79" t="s">
        <v>2085</v>
      </c>
    </row>
    <row r="660" spans="25:25" ht="12.75" customHeight="1" x14ac:dyDescent="0.2">
      <c r="Y660" s="79" t="s">
        <v>1265</v>
      </c>
    </row>
    <row r="661" spans="25:25" ht="12.75" customHeight="1" x14ac:dyDescent="0.2">
      <c r="Y661" s="79" t="s">
        <v>2311</v>
      </c>
    </row>
    <row r="662" spans="25:25" ht="12.75" customHeight="1" x14ac:dyDescent="0.2">
      <c r="Y662" s="79" t="s">
        <v>2322</v>
      </c>
    </row>
    <row r="663" spans="25:25" ht="12.75" customHeight="1" x14ac:dyDescent="0.2">
      <c r="Y663" s="79" t="s">
        <v>2320</v>
      </c>
    </row>
    <row r="664" spans="25:25" ht="12.75" customHeight="1" x14ac:dyDescent="0.2">
      <c r="Y664" s="79" t="s">
        <v>2318</v>
      </c>
    </row>
    <row r="665" spans="25:25" ht="12.75" customHeight="1" x14ac:dyDescent="0.2">
      <c r="Y665" s="79" t="s">
        <v>2316</v>
      </c>
    </row>
    <row r="666" spans="25:25" ht="12.75" customHeight="1" x14ac:dyDescent="0.2">
      <c r="Y666" s="79" t="s">
        <v>2477</v>
      </c>
    </row>
    <row r="667" spans="25:25" ht="12.75" customHeight="1" x14ac:dyDescent="0.2">
      <c r="Y667" s="79" t="s">
        <v>1383</v>
      </c>
    </row>
    <row r="668" spans="25:25" ht="12.75" customHeight="1" x14ac:dyDescent="0.2">
      <c r="Y668" s="79" t="s">
        <v>1576</v>
      </c>
    </row>
    <row r="669" spans="25:25" ht="12.75" customHeight="1" x14ac:dyDescent="0.2">
      <c r="Y669" s="79" t="s">
        <v>1765</v>
      </c>
    </row>
    <row r="670" spans="25:25" ht="12.75" customHeight="1" x14ac:dyDescent="0.2">
      <c r="Y670" s="79" t="s">
        <v>1166</v>
      </c>
    </row>
    <row r="671" spans="25:25" ht="12.75" customHeight="1" x14ac:dyDescent="0.2">
      <c r="Y671" s="79" t="s">
        <v>2715</v>
      </c>
    </row>
    <row r="672" spans="25:25" ht="12.75" customHeight="1" x14ac:dyDescent="0.2">
      <c r="Y672" s="79" t="s">
        <v>1944</v>
      </c>
    </row>
    <row r="673" spans="25:25" ht="12.75" customHeight="1" x14ac:dyDescent="0.2">
      <c r="Y673" s="79" t="s">
        <v>1940</v>
      </c>
    </row>
    <row r="674" spans="25:25" ht="12.75" customHeight="1" x14ac:dyDescent="0.2">
      <c r="Y674" s="79" t="s">
        <v>1938</v>
      </c>
    </row>
    <row r="675" spans="25:25" ht="12.75" customHeight="1" x14ac:dyDescent="0.2">
      <c r="Y675" s="79" t="s">
        <v>2534</v>
      </c>
    </row>
    <row r="676" spans="25:25" ht="12.75" customHeight="1" x14ac:dyDescent="0.2">
      <c r="Y676" s="79" t="s">
        <v>2536</v>
      </c>
    </row>
    <row r="677" spans="25:25" ht="12.75" customHeight="1" x14ac:dyDescent="0.2">
      <c r="Y677" s="79" t="s">
        <v>2530</v>
      </c>
    </row>
    <row r="678" spans="25:25" ht="12.75" customHeight="1" x14ac:dyDescent="0.2">
      <c r="Y678" s="79" t="s">
        <v>2524</v>
      </c>
    </row>
    <row r="679" spans="25:25" ht="12.75" customHeight="1" x14ac:dyDescent="0.2">
      <c r="Y679" s="79" t="s">
        <v>2526</v>
      </c>
    </row>
    <row r="680" spans="25:25" ht="12.75" customHeight="1" x14ac:dyDescent="0.2">
      <c r="Y680" s="79" t="s">
        <v>2528</v>
      </c>
    </row>
    <row r="681" spans="25:25" ht="12.75" customHeight="1" x14ac:dyDescent="0.2">
      <c r="Y681" s="79" t="s">
        <v>2522</v>
      </c>
    </row>
    <row r="682" spans="25:25" ht="12.75" customHeight="1" x14ac:dyDescent="0.2">
      <c r="Y682" s="79" t="s">
        <v>1916</v>
      </c>
    </row>
    <row r="683" spans="25:25" ht="12.75" customHeight="1" x14ac:dyDescent="0.2">
      <c r="Y683" s="79" t="s">
        <v>1903</v>
      </c>
    </row>
    <row r="684" spans="25:25" ht="12.75" customHeight="1" x14ac:dyDescent="0.2">
      <c r="Y684" s="79" t="s">
        <v>1898</v>
      </c>
    </row>
    <row r="685" spans="25:25" ht="12.75" customHeight="1" x14ac:dyDescent="0.2">
      <c r="Y685" s="79" t="s">
        <v>1911</v>
      </c>
    </row>
    <row r="686" spans="25:25" ht="12.75" customHeight="1" x14ac:dyDescent="0.2">
      <c r="Y686" s="79" t="s">
        <v>1906</v>
      </c>
    </row>
    <row r="687" spans="25:25" ht="12.75" customHeight="1" x14ac:dyDescent="0.2">
      <c r="Y687" s="79" t="s">
        <v>1896</v>
      </c>
    </row>
    <row r="688" spans="25:25" ht="12.75" customHeight="1" x14ac:dyDescent="0.2">
      <c r="Y688" s="79" t="s">
        <v>1922</v>
      </c>
    </row>
    <row r="689" spans="1:25" ht="12.75" customHeight="1" x14ac:dyDescent="0.2">
      <c r="Y689" s="79" t="s">
        <v>1924</v>
      </c>
    </row>
    <row r="690" spans="1:25" ht="12.75" customHeight="1" x14ac:dyDescent="0.2">
      <c r="Y690" s="79" t="s">
        <v>2464</v>
      </c>
    </row>
    <row r="691" spans="1:25" ht="12.75" customHeight="1" x14ac:dyDescent="0.2">
      <c r="Y691" s="79" t="s">
        <v>2468</v>
      </c>
    </row>
    <row r="692" spans="1:25" ht="12.75" customHeight="1" x14ac:dyDescent="0.2">
      <c r="Y692" s="79" t="s">
        <v>2466</v>
      </c>
    </row>
    <row r="693" spans="1:25" ht="12.75" customHeight="1" x14ac:dyDescent="0.2">
      <c r="Y693" s="79" t="s">
        <v>2470</v>
      </c>
    </row>
    <row r="694" spans="1:25" ht="12.75" customHeight="1" x14ac:dyDescent="0.2">
      <c r="Y694" s="79" t="s">
        <v>2475</v>
      </c>
    </row>
    <row r="695" spans="1:25" ht="12.75" customHeight="1" x14ac:dyDescent="0.2">
      <c r="Y695" s="79" t="s">
        <v>1942</v>
      </c>
    </row>
    <row r="696" spans="1:25" ht="12.75" customHeight="1" x14ac:dyDescent="0.2">
      <c r="Y696" s="79" t="s">
        <v>2538</v>
      </c>
    </row>
    <row r="697" spans="1:25" ht="12.75" customHeight="1" x14ac:dyDescent="0.2">
      <c r="Y697" s="79" t="s">
        <v>1327</v>
      </c>
    </row>
    <row r="698" spans="1:25" ht="12.75" customHeight="1" x14ac:dyDescent="0.2">
      <c r="B698" s="106" t="s">
        <v>2564</v>
      </c>
      <c r="C698" s="106" t="s">
        <v>2564</v>
      </c>
      <c r="D698" s="106" t="s">
        <v>2563</v>
      </c>
      <c r="E698" s="107" t="str">
        <f t="shared" ref="E698" si="21">CONCATENATE(J698,", ",K698,", ",L698)</f>
        <v>CLEVELAND, OH, 44125</v>
      </c>
      <c r="F698" s="106" t="s">
        <v>2563</v>
      </c>
      <c r="G698" s="106" t="s">
        <v>2565</v>
      </c>
      <c r="H698" s="106" t="s">
        <v>2759</v>
      </c>
      <c r="I698" s="106" t="s">
        <v>2760</v>
      </c>
      <c r="J698" s="106" t="s">
        <v>843</v>
      </c>
      <c r="K698" s="106" t="s">
        <v>707</v>
      </c>
      <c r="L698" s="106" t="s">
        <v>2562</v>
      </c>
      <c r="Y698" s="79" t="s">
        <v>1278</v>
      </c>
    </row>
    <row r="699" spans="1:25" ht="12.75" customHeight="1" x14ac:dyDescent="0.2">
      <c r="Y699" s="79" t="s">
        <v>1282</v>
      </c>
    </row>
    <row r="700" spans="1:25" ht="12.75" customHeight="1" x14ac:dyDescent="0.2">
      <c r="A700" s="55" t="s">
        <v>2858</v>
      </c>
      <c r="B700" s="80" t="s">
        <v>2751</v>
      </c>
      <c r="C700" s="80" t="s">
        <v>2863</v>
      </c>
      <c r="D700" s="80" t="s">
        <v>2750</v>
      </c>
      <c r="E700" s="56" t="s">
        <v>2860</v>
      </c>
      <c r="F700" s="80" t="s">
        <v>2859</v>
      </c>
      <c r="G700" s="80" t="s">
        <v>2753</v>
      </c>
      <c r="H700" s="80" t="s">
        <v>2752</v>
      </c>
      <c r="I700" s="80" t="s">
        <v>2857</v>
      </c>
      <c r="J700" s="80" t="s">
        <v>2754</v>
      </c>
      <c r="K700" s="80" t="s">
        <v>2755</v>
      </c>
      <c r="L700" s="80" t="s">
        <v>2756</v>
      </c>
      <c r="Y700" s="79" t="s">
        <v>2218</v>
      </c>
    </row>
    <row r="701" spans="1:25" ht="12.75" customHeight="1" x14ac:dyDescent="0.2">
      <c r="A701" s="91">
        <f>IF(B701=B2,1,"CHECK")</f>
        <v>1</v>
      </c>
      <c r="B701" s="79" t="s">
        <v>2564</v>
      </c>
      <c r="C701" s="79" t="s">
        <v>2564</v>
      </c>
      <c r="D701" s="79" t="s">
        <v>2563</v>
      </c>
      <c r="E701" s="55" t="s">
        <v>3178</v>
      </c>
      <c r="F701" s="79" t="s">
        <v>2563</v>
      </c>
      <c r="G701" s="79" t="s">
        <v>2565</v>
      </c>
      <c r="H701" s="79" t="s">
        <v>2759</v>
      </c>
      <c r="I701" s="79" t="s">
        <v>2760</v>
      </c>
      <c r="J701" s="79" t="s">
        <v>843</v>
      </c>
      <c r="K701" s="79" t="s">
        <v>707</v>
      </c>
      <c r="L701" s="79" t="s">
        <v>2562</v>
      </c>
      <c r="Y701" s="79" t="s">
        <v>2566</v>
      </c>
    </row>
    <row r="702" spans="1:25" ht="12.75" customHeight="1" x14ac:dyDescent="0.2">
      <c r="A702" s="91">
        <f>IF(B702=B3,1,"CHECK")</f>
        <v>1</v>
      </c>
      <c r="B702" s="79" t="s">
        <v>2555</v>
      </c>
      <c r="C702" s="79" t="s">
        <v>2555</v>
      </c>
      <c r="D702" s="79" t="s">
        <v>2554</v>
      </c>
      <c r="E702" s="55" t="s">
        <v>3179</v>
      </c>
      <c r="F702" s="79" t="s">
        <v>2554</v>
      </c>
      <c r="G702" s="79" t="s">
        <v>2556</v>
      </c>
      <c r="H702" s="79" t="s">
        <v>2759</v>
      </c>
      <c r="I702" s="79" t="s">
        <v>2761</v>
      </c>
      <c r="J702" s="79" t="s">
        <v>2557</v>
      </c>
      <c r="K702" s="79" t="s">
        <v>707</v>
      </c>
      <c r="L702" s="79" t="s">
        <v>2488</v>
      </c>
      <c r="Y702" s="79" t="s">
        <v>1347</v>
      </c>
    </row>
    <row r="703" spans="1:25" ht="12.75" customHeight="1" x14ac:dyDescent="0.2">
      <c r="A703" s="91">
        <f t="shared" ref="A703:A766" si="22">IF(B703=B4,1,"CHECK")</f>
        <v>1</v>
      </c>
      <c r="B703" s="79" t="s">
        <v>1343</v>
      </c>
      <c r="C703" s="79" t="s">
        <v>1343</v>
      </c>
      <c r="D703" s="79" t="s">
        <v>1342</v>
      </c>
      <c r="E703" s="55" t="s">
        <v>3180</v>
      </c>
      <c r="F703" s="79" t="s">
        <v>1342</v>
      </c>
      <c r="G703" s="79" t="s">
        <v>1344</v>
      </c>
      <c r="H703" s="79" t="s">
        <v>2762</v>
      </c>
      <c r="I703" s="79" t="s">
        <v>2763</v>
      </c>
      <c r="J703" s="79" t="s">
        <v>1345</v>
      </c>
      <c r="K703" s="79" t="s">
        <v>707</v>
      </c>
      <c r="L703" s="79" t="s">
        <v>1346</v>
      </c>
      <c r="Y703" s="79" t="s">
        <v>1598</v>
      </c>
    </row>
    <row r="704" spans="1:25" ht="12.75" customHeight="1" x14ac:dyDescent="0.2">
      <c r="A704" s="91">
        <f t="shared" si="22"/>
        <v>1</v>
      </c>
      <c r="B704" s="79" t="s">
        <v>2559</v>
      </c>
      <c r="C704" s="79" t="s">
        <v>2559</v>
      </c>
      <c r="D704" s="79" t="s">
        <v>2558</v>
      </c>
      <c r="E704" s="55" t="s">
        <v>3181</v>
      </c>
      <c r="F704" s="79" t="s">
        <v>2558</v>
      </c>
      <c r="G704" s="79" t="s">
        <v>2560</v>
      </c>
      <c r="H704" s="79" t="s">
        <v>2759</v>
      </c>
      <c r="I704" s="79" t="s">
        <v>2760</v>
      </c>
      <c r="J704" s="79" t="s">
        <v>2561</v>
      </c>
      <c r="K704" s="79" t="s">
        <v>707</v>
      </c>
      <c r="L704" s="79" t="s">
        <v>2562</v>
      </c>
      <c r="Y704" s="79" t="s">
        <v>2545</v>
      </c>
    </row>
    <row r="705" spans="1:25" ht="12.75" customHeight="1" x14ac:dyDescent="0.2">
      <c r="A705" s="91">
        <f t="shared" si="22"/>
        <v>1</v>
      </c>
      <c r="B705" s="79" t="s">
        <v>2572</v>
      </c>
      <c r="C705" s="79" t="s">
        <v>2572</v>
      </c>
      <c r="D705" s="79" t="s">
        <v>2571</v>
      </c>
      <c r="E705" s="55" t="s">
        <v>3179</v>
      </c>
      <c r="F705" s="79" t="s">
        <v>2571</v>
      </c>
      <c r="G705" s="79" t="s">
        <v>2573</v>
      </c>
      <c r="H705" s="79" t="s">
        <v>2759</v>
      </c>
      <c r="I705" s="79" t="s">
        <v>2761</v>
      </c>
      <c r="J705" s="79" t="s">
        <v>2557</v>
      </c>
      <c r="K705" s="79" t="s">
        <v>707</v>
      </c>
      <c r="L705" s="79" t="s">
        <v>2488</v>
      </c>
      <c r="Y705" s="79" t="s">
        <v>2547</v>
      </c>
    </row>
    <row r="706" spans="1:25" ht="12.75" customHeight="1" x14ac:dyDescent="0.2">
      <c r="A706" s="91">
        <f t="shared" si="22"/>
        <v>1</v>
      </c>
      <c r="B706" s="79" t="s">
        <v>1455</v>
      </c>
      <c r="C706" s="79" t="s">
        <v>1455</v>
      </c>
      <c r="D706" s="79" t="s">
        <v>1454</v>
      </c>
      <c r="E706" s="55" t="s">
        <v>3182</v>
      </c>
      <c r="F706" s="79" t="s">
        <v>1454</v>
      </c>
      <c r="G706" s="79" t="s">
        <v>1456</v>
      </c>
      <c r="H706" s="79" t="s">
        <v>2762</v>
      </c>
      <c r="I706" s="79" t="s">
        <v>2764</v>
      </c>
      <c r="J706" s="79" t="s">
        <v>1457</v>
      </c>
      <c r="K706" s="79" t="s">
        <v>898</v>
      </c>
      <c r="L706" s="79" t="s">
        <v>1458</v>
      </c>
      <c r="Y706" s="79" t="s">
        <v>1297</v>
      </c>
    </row>
    <row r="707" spans="1:25" ht="12.75" customHeight="1" x14ac:dyDescent="0.2">
      <c r="A707" s="91">
        <f t="shared" si="22"/>
        <v>1</v>
      </c>
      <c r="B707" s="79" t="s">
        <v>1474</v>
      </c>
      <c r="C707" s="79" t="s">
        <v>1474</v>
      </c>
      <c r="D707" s="79" t="s">
        <v>1473</v>
      </c>
      <c r="E707" s="55" t="s">
        <v>3183</v>
      </c>
      <c r="F707" s="79" t="s">
        <v>1473</v>
      </c>
      <c r="G707" s="79" t="s">
        <v>1475</v>
      </c>
      <c r="H707" s="79" t="s">
        <v>2762</v>
      </c>
      <c r="I707" s="79" t="s">
        <v>2765</v>
      </c>
      <c r="J707" s="79" t="s">
        <v>1476</v>
      </c>
      <c r="K707" s="79" t="s">
        <v>898</v>
      </c>
      <c r="L707" s="79" t="s">
        <v>1477</v>
      </c>
      <c r="Y707" s="79" t="s">
        <v>1770</v>
      </c>
    </row>
    <row r="708" spans="1:25" ht="12.75" customHeight="1" x14ac:dyDescent="0.2">
      <c r="A708" s="91">
        <f t="shared" si="22"/>
        <v>1</v>
      </c>
      <c r="B708" s="79" t="s">
        <v>1434</v>
      </c>
      <c r="C708" s="79" t="s">
        <v>1434</v>
      </c>
      <c r="D708" s="79" t="s">
        <v>1433</v>
      </c>
      <c r="E708" s="55" t="s">
        <v>3184</v>
      </c>
      <c r="F708" s="79" t="s">
        <v>1433</v>
      </c>
      <c r="G708" s="79" t="s">
        <v>1435</v>
      </c>
      <c r="H708" s="79" t="s">
        <v>2762</v>
      </c>
      <c r="I708" s="79" t="s">
        <v>2764</v>
      </c>
      <c r="J708" s="79" t="s">
        <v>1431</v>
      </c>
      <c r="K708" s="79" t="s">
        <v>898</v>
      </c>
      <c r="L708" s="79" t="s">
        <v>1432</v>
      </c>
      <c r="Y708" s="79" t="s">
        <v>1556</v>
      </c>
    </row>
    <row r="709" spans="1:25" ht="12.75" customHeight="1" x14ac:dyDescent="0.2">
      <c r="A709" s="91">
        <f t="shared" si="22"/>
        <v>1</v>
      </c>
      <c r="B709" s="79" t="s">
        <v>1365</v>
      </c>
      <c r="C709" s="79" t="s">
        <v>1365</v>
      </c>
      <c r="D709" s="79" t="s">
        <v>1364</v>
      </c>
      <c r="E709" s="55" t="s">
        <v>3185</v>
      </c>
      <c r="F709" s="79" t="s">
        <v>1364</v>
      </c>
      <c r="G709" s="79" t="s">
        <v>1366</v>
      </c>
      <c r="H709" s="79" t="s">
        <v>2762</v>
      </c>
      <c r="I709" s="79" t="s">
        <v>2766</v>
      </c>
      <c r="J709" s="79" t="s">
        <v>1367</v>
      </c>
      <c r="K709" s="79" t="s">
        <v>707</v>
      </c>
      <c r="L709" s="79" t="s">
        <v>886</v>
      </c>
      <c r="Y709" s="79" t="s">
        <v>1498</v>
      </c>
    </row>
    <row r="710" spans="1:25" ht="12.75" customHeight="1" x14ac:dyDescent="0.2">
      <c r="A710" s="91">
        <f t="shared" si="22"/>
        <v>1</v>
      </c>
      <c r="B710" s="79" t="s">
        <v>1371</v>
      </c>
      <c r="C710" s="79" t="s">
        <v>1371</v>
      </c>
      <c r="D710" s="79" t="s">
        <v>1370</v>
      </c>
      <c r="E710" s="55" t="s">
        <v>3186</v>
      </c>
      <c r="F710" s="79" t="s">
        <v>1370</v>
      </c>
      <c r="G710" s="79" t="s">
        <v>826</v>
      </c>
      <c r="H710" s="79" t="s">
        <v>2762</v>
      </c>
      <c r="I710" s="79" t="s">
        <v>2763</v>
      </c>
      <c r="J710" s="79" t="s">
        <v>827</v>
      </c>
      <c r="K710" s="79" t="s">
        <v>707</v>
      </c>
      <c r="L710" s="79" t="s">
        <v>828</v>
      </c>
      <c r="Y710" s="79" t="s">
        <v>1494</v>
      </c>
    </row>
    <row r="711" spans="1:25" ht="12.75" customHeight="1" x14ac:dyDescent="0.2">
      <c r="A711" s="91">
        <f t="shared" si="22"/>
        <v>1</v>
      </c>
      <c r="B711" s="79" t="s">
        <v>1369</v>
      </c>
      <c r="C711" s="79" t="s">
        <v>1369</v>
      </c>
      <c r="D711" s="79" t="s">
        <v>1368</v>
      </c>
      <c r="E711" s="55" t="s">
        <v>3187</v>
      </c>
      <c r="F711" s="79" t="s">
        <v>1368</v>
      </c>
      <c r="G711" s="79" t="s">
        <v>954</v>
      </c>
      <c r="H711" s="79" t="s">
        <v>2759</v>
      </c>
      <c r="I711" s="79" t="s">
        <v>2760</v>
      </c>
      <c r="J711" s="79" t="s">
        <v>843</v>
      </c>
      <c r="K711" s="79" t="s">
        <v>707</v>
      </c>
      <c r="L711" s="79" t="s">
        <v>955</v>
      </c>
      <c r="Y711" s="79" t="s">
        <v>2499</v>
      </c>
    </row>
    <row r="712" spans="1:25" ht="12.75" customHeight="1" x14ac:dyDescent="0.2">
      <c r="A712" s="91">
        <f t="shared" si="22"/>
        <v>1</v>
      </c>
      <c r="B712" s="79" t="s">
        <v>1373</v>
      </c>
      <c r="C712" s="79" t="s">
        <v>1373</v>
      </c>
      <c r="D712" s="79" t="s">
        <v>1372</v>
      </c>
      <c r="E712" s="55" t="s">
        <v>3188</v>
      </c>
      <c r="F712" s="79" t="s">
        <v>1372</v>
      </c>
      <c r="G712" s="79" t="s">
        <v>839</v>
      </c>
      <c r="H712" s="79" t="s">
        <v>2767</v>
      </c>
      <c r="I712" s="79" t="s">
        <v>2768</v>
      </c>
      <c r="J712" s="79" t="s">
        <v>835</v>
      </c>
      <c r="K712" s="79" t="s">
        <v>707</v>
      </c>
      <c r="L712" s="79" t="s">
        <v>836</v>
      </c>
      <c r="Y712" s="79" t="s">
        <v>2497</v>
      </c>
    </row>
    <row r="713" spans="1:25" ht="12.75" customHeight="1" x14ac:dyDescent="0.2">
      <c r="A713" s="91">
        <f t="shared" si="22"/>
        <v>1</v>
      </c>
      <c r="B713" s="79" t="s">
        <v>1421</v>
      </c>
      <c r="C713" s="79" t="s">
        <v>1421</v>
      </c>
      <c r="D713" s="79" t="s">
        <v>1420</v>
      </c>
      <c r="E713" s="55" t="s">
        <v>3189</v>
      </c>
      <c r="F713" s="79" t="s">
        <v>1420</v>
      </c>
      <c r="G713" s="79" t="s">
        <v>1422</v>
      </c>
      <c r="H713" s="79" t="s">
        <v>2762</v>
      </c>
      <c r="I713" s="79" t="s">
        <v>2766</v>
      </c>
      <c r="J713" s="79" t="s">
        <v>817</v>
      </c>
      <c r="K713" s="79" t="s">
        <v>707</v>
      </c>
      <c r="L713" s="79" t="s">
        <v>818</v>
      </c>
      <c r="Y713" s="79" t="s">
        <v>2495</v>
      </c>
    </row>
    <row r="714" spans="1:25" ht="12.75" customHeight="1" x14ac:dyDescent="0.2">
      <c r="A714" s="91">
        <f t="shared" si="22"/>
        <v>1</v>
      </c>
      <c r="B714" s="79" t="s">
        <v>1375</v>
      </c>
      <c r="C714" s="79" t="s">
        <v>1375</v>
      </c>
      <c r="D714" s="79" t="s">
        <v>1374</v>
      </c>
      <c r="E714" s="55" t="s">
        <v>3190</v>
      </c>
      <c r="F714" s="79" t="s">
        <v>1374</v>
      </c>
      <c r="G714" s="79" t="s">
        <v>842</v>
      </c>
      <c r="H714" s="79" t="s">
        <v>2759</v>
      </c>
      <c r="I714" s="79" t="s">
        <v>2760</v>
      </c>
      <c r="J714" s="79" t="s">
        <v>843</v>
      </c>
      <c r="K714" s="79" t="s">
        <v>707</v>
      </c>
      <c r="L714" s="79" t="s">
        <v>844</v>
      </c>
      <c r="Y714" s="79" t="s">
        <v>1780</v>
      </c>
    </row>
    <row r="715" spans="1:25" ht="12.75" customHeight="1" x14ac:dyDescent="0.2">
      <c r="A715" s="91">
        <f t="shared" si="22"/>
        <v>1</v>
      </c>
      <c r="B715" s="79" t="s">
        <v>1424</v>
      </c>
      <c r="C715" s="79" t="s">
        <v>1424</v>
      </c>
      <c r="D715" s="79" t="s">
        <v>1423</v>
      </c>
      <c r="E715" s="55" t="s">
        <v>3190</v>
      </c>
      <c r="F715" s="79" t="s">
        <v>1423</v>
      </c>
      <c r="G715" s="79" t="s">
        <v>842</v>
      </c>
      <c r="H715" s="79" t="s">
        <v>2759</v>
      </c>
      <c r="I715" s="79" t="s">
        <v>2760</v>
      </c>
      <c r="J715" s="79" t="s">
        <v>843</v>
      </c>
      <c r="K715" s="79" t="s">
        <v>707</v>
      </c>
      <c r="L715" s="79" t="s">
        <v>844</v>
      </c>
      <c r="Y715" s="79" t="s">
        <v>1873</v>
      </c>
    </row>
    <row r="716" spans="1:25" ht="12.75" customHeight="1" x14ac:dyDescent="0.2">
      <c r="A716" s="91">
        <f t="shared" si="22"/>
        <v>1</v>
      </c>
      <c r="B716" s="79" t="s">
        <v>3081</v>
      </c>
      <c r="C716" s="79" t="s">
        <v>3081</v>
      </c>
      <c r="D716" s="79" t="s">
        <v>1451</v>
      </c>
      <c r="E716" s="55" t="s">
        <v>3191</v>
      </c>
      <c r="F716" s="79" t="s">
        <v>1451</v>
      </c>
      <c r="G716" s="79" t="s">
        <v>1453</v>
      </c>
      <c r="H716" s="79" t="s">
        <v>2762</v>
      </c>
      <c r="I716" s="79" t="s">
        <v>2766</v>
      </c>
      <c r="J716" s="79" t="s">
        <v>885</v>
      </c>
      <c r="K716" s="79" t="s">
        <v>707</v>
      </c>
      <c r="L716" s="79" t="s">
        <v>886</v>
      </c>
      <c r="Y716" s="79" t="s">
        <v>1300</v>
      </c>
    </row>
    <row r="717" spans="1:25" ht="12.75" customHeight="1" x14ac:dyDescent="0.2">
      <c r="A717" s="91">
        <f t="shared" si="22"/>
        <v>1</v>
      </c>
      <c r="B717" s="79" t="s">
        <v>1255</v>
      </c>
      <c r="C717" s="79" t="s">
        <v>1255</v>
      </c>
      <c r="D717" s="79" t="s">
        <v>1254</v>
      </c>
      <c r="E717" s="55" t="s">
        <v>3192</v>
      </c>
      <c r="F717" s="79" t="s">
        <v>1254</v>
      </c>
      <c r="G717" s="79" t="s">
        <v>1256</v>
      </c>
      <c r="H717" s="79" t="s">
        <v>2762</v>
      </c>
      <c r="I717" s="79" t="s">
        <v>2766</v>
      </c>
      <c r="J717" s="79" t="s">
        <v>885</v>
      </c>
      <c r="K717" s="79" t="s">
        <v>707</v>
      </c>
      <c r="L717" s="79" t="s">
        <v>1257</v>
      </c>
      <c r="Y717" s="79" t="s">
        <v>1404</v>
      </c>
    </row>
    <row r="718" spans="1:25" ht="12.75" customHeight="1" x14ac:dyDescent="0.2">
      <c r="A718" s="91">
        <f t="shared" si="22"/>
        <v>1</v>
      </c>
      <c r="B718" s="79" t="s">
        <v>1259</v>
      </c>
      <c r="C718" s="79" t="s">
        <v>1259</v>
      </c>
      <c r="D718" s="79" t="s">
        <v>1258</v>
      </c>
      <c r="E718" s="55" t="s">
        <v>3188</v>
      </c>
      <c r="F718" s="79" t="s">
        <v>1258</v>
      </c>
      <c r="G718" s="79" t="s">
        <v>839</v>
      </c>
      <c r="H718" s="79" t="s">
        <v>2767</v>
      </c>
      <c r="I718" s="79" t="s">
        <v>2768</v>
      </c>
      <c r="J718" s="79" t="s">
        <v>835</v>
      </c>
      <c r="K718" s="79" t="s">
        <v>707</v>
      </c>
      <c r="L718" s="79" t="s">
        <v>836</v>
      </c>
      <c r="Y718" s="79" t="s">
        <v>1407</v>
      </c>
    </row>
    <row r="719" spans="1:25" ht="12.75" customHeight="1" x14ac:dyDescent="0.2">
      <c r="A719" s="91">
        <f t="shared" si="22"/>
        <v>1</v>
      </c>
      <c r="B719" s="79" t="s">
        <v>3087</v>
      </c>
      <c r="C719" s="79" t="s">
        <v>3087</v>
      </c>
      <c r="D719" s="79" t="s">
        <v>3088</v>
      </c>
      <c r="E719" s="55" t="s">
        <v>3193</v>
      </c>
      <c r="F719" s="79" t="s">
        <v>3088</v>
      </c>
      <c r="G719" s="79" t="s">
        <v>3089</v>
      </c>
      <c r="H719" s="79" t="s">
        <v>2780</v>
      </c>
      <c r="I719" s="79" t="s">
        <v>2764</v>
      </c>
      <c r="J719" s="79" t="s">
        <v>3090</v>
      </c>
      <c r="K719" s="79" t="s">
        <v>898</v>
      </c>
      <c r="L719" s="79" t="s">
        <v>3091</v>
      </c>
      <c r="Y719" s="79" t="s">
        <v>1409</v>
      </c>
    </row>
    <row r="720" spans="1:25" ht="12.75" customHeight="1" x14ac:dyDescent="0.2">
      <c r="A720" s="91">
        <f t="shared" si="22"/>
        <v>1</v>
      </c>
      <c r="B720" s="79" t="s">
        <v>1261</v>
      </c>
      <c r="C720" s="79" t="s">
        <v>1261</v>
      </c>
      <c r="D720" s="79" t="s">
        <v>1260</v>
      </c>
      <c r="E720" s="55" t="s">
        <v>3194</v>
      </c>
      <c r="F720" s="79" t="s">
        <v>1260</v>
      </c>
      <c r="G720" s="79" t="s">
        <v>1262</v>
      </c>
      <c r="H720" s="79" t="s">
        <v>2762</v>
      </c>
      <c r="I720" s="79" t="s">
        <v>2765</v>
      </c>
      <c r="J720" s="79" t="s">
        <v>1263</v>
      </c>
      <c r="K720" s="79" t="s">
        <v>898</v>
      </c>
      <c r="L720" s="79" t="s">
        <v>1264</v>
      </c>
      <c r="Y720" s="79" t="s">
        <v>2189</v>
      </c>
    </row>
    <row r="721" spans="1:25" ht="12.75" customHeight="1" x14ac:dyDescent="0.2">
      <c r="A721" s="91">
        <f t="shared" si="22"/>
        <v>1</v>
      </c>
      <c r="B721" s="79" t="s">
        <v>3082</v>
      </c>
      <c r="C721" s="79" t="s">
        <v>3082</v>
      </c>
      <c r="D721" s="79" t="s">
        <v>3083</v>
      </c>
      <c r="E721" s="55" t="s">
        <v>3195</v>
      </c>
      <c r="F721" s="79" t="s">
        <v>3083</v>
      </c>
      <c r="G721" s="79" t="s">
        <v>3084</v>
      </c>
      <c r="H721" s="79" t="s">
        <v>2762</v>
      </c>
      <c r="I721" s="79" t="s">
        <v>2764</v>
      </c>
      <c r="J721" s="79" t="s">
        <v>3085</v>
      </c>
      <c r="K721" s="79" t="s">
        <v>898</v>
      </c>
      <c r="L721" s="79" t="s">
        <v>3086</v>
      </c>
      <c r="Y721" s="79" t="s">
        <v>1712</v>
      </c>
    </row>
    <row r="722" spans="1:25" ht="12.75" customHeight="1" x14ac:dyDescent="0.2">
      <c r="A722" s="91">
        <f t="shared" si="22"/>
        <v>1</v>
      </c>
      <c r="B722" s="79" t="s">
        <v>2069</v>
      </c>
      <c r="C722" s="79" t="s">
        <v>2069</v>
      </c>
      <c r="D722" s="79" t="s">
        <v>2068</v>
      </c>
      <c r="E722" s="55" t="s">
        <v>3196</v>
      </c>
      <c r="F722" s="79" t="s">
        <v>2068</v>
      </c>
      <c r="G722" s="79" t="s">
        <v>2070</v>
      </c>
      <c r="H722" s="79" t="s">
        <v>2770</v>
      </c>
      <c r="I722" s="79" t="s">
        <v>2771</v>
      </c>
      <c r="J722" s="79" t="s">
        <v>2025</v>
      </c>
      <c r="K722" s="79" t="s">
        <v>707</v>
      </c>
      <c r="L722" s="79" t="s">
        <v>2026</v>
      </c>
      <c r="Y722" s="79" t="s">
        <v>1227</v>
      </c>
    </row>
    <row r="723" spans="1:25" ht="12.75" customHeight="1" x14ac:dyDescent="0.2">
      <c r="A723" s="91">
        <f t="shared" si="22"/>
        <v>1</v>
      </c>
      <c r="B723" s="79" t="s">
        <v>2069</v>
      </c>
      <c r="C723" s="79" t="s">
        <v>2069</v>
      </c>
      <c r="D723" s="79" t="s">
        <v>2722</v>
      </c>
      <c r="E723" s="55" t="s">
        <v>3196</v>
      </c>
      <c r="F723" s="79" t="s">
        <v>2722</v>
      </c>
      <c r="G723" s="79" t="s">
        <v>2070</v>
      </c>
      <c r="H723" s="79" t="s">
        <v>2770</v>
      </c>
      <c r="I723" s="79" t="s">
        <v>2771</v>
      </c>
      <c r="J723" s="79" t="s">
        <v>2025</v>
      </c>
      <c r="K723" s="79" t="s">
        <v>707</v>
      </c>
      <c r="L723" s="79" t="s">
        <v>2026</v>
      </c>
      <c r="Y723" s="79" t="s">
        <v>1234</v>
      </c>
    </row>
    <row r="724" spans="1:25" ht="12.75" customHeight="1" x14ac:dyDescent="0.2">
      <c r="A724" s="91">
        <f t="shared" si="22"/>
        <v>1</v>
      </c>
      <c r="B724" s="79" t="s">
        <v>1190</v>
      </c>
      <c r="C724" s="79" t="s">
        <v>1190</v>
      </c>
      <c r="D724" s="79" t="s">
        <v>1189</v>
      </c>
      <c r="E724" s="55" t="s">
        <v>3197</v>
      </c>
      <c r="F724" s="79" t="s">
        <v>1189</v>
      </c>
      <c r="G724" s="79" t="s">
        <v>1191</v>
      </c>
      <c r="H724" s="79" t="s">
        <v>2772</v>
      </c>
      <c r="I724" s="79" t="s">
        <v>2773</v>
      </c>
      <c r="J724" s="79" t="s">
        <v>993</v>
      </c>
      <c r="K724" s="79" t="s">
        <v>707</v>
      </c>
      <c r="L724" s="79" t="s">
        <v>994</v>
      </c>
      <c r="Y724" s="79" t="s">
        <v>1232</v>
      </c>
    </row>
    <row r="725" spans="1:25" ht="12.75" customHeight="1" x14ac:dyDescent="0.2">
      <c r="A725" s="91">
        <f t="shared" si="22"/>
        <v>1</v>
      </c>
      <c r="B725" s="79" t="s">
        <v>1190</v>
      </c>
      <c r="C725" s="79" t="s">
        <v>1190</v>
      </c>
      <c r="D725" s="79" t="s">
        <v>2599</v>
      </c>
      <c r="E725" s="55" t="s">
        <v>3197</v>
      </c>
      <c r="F725" s="79" t="s">
        <v>2599</v>
      </c>
      <c r="G725" s="79" t="s">
        <v>1191</v>
      </c>
      <c r="H725" s="79" t="s">
        <v>2772</v>
      </c>
      <c r="I725" s="79" t="s">
        <v>2773</v>
      </c>
      <c r="J725" s="79" t="s">
        <v>993</v>
      </c>
      <c r="K725" s="79" t="s">
        <v>707</v>
      </c>
      <c r="L725" s="79" t="s">
        <v>994</v>
      </c>
      <c r="Y725" s="79" t="s">
        <v>2171</v>
      </c>
    </row>
    <row r="726" spans="1:25" ht="12.75" customHeight="1" x14ac:dyDescent="0.2">
      <c r="A726" s="91">
        <f t="shared" si="22"/>
        <v>1</v>
      </c>
      <c r="B726" s="79" t="s">
        <v>1193</v>
      </c>
      <c r="C726" s="79" t="s">
        <v>1193</v>
      </c>
      <c r="D726" s="79" t="s">
        <v>1192</v>
      </c>
      <c r="E726" s="55" t="s">
        <v>3198</v>
      </c>
      <c r="F726" s="79" t="s">
        <v>1192</v>
      </c>
      <c r="G726" s="79" t="s">
        <v>1194</v>
      </c>
      <c r="H726" s="79" t="s">
        <v>2759</v>
      </c>
      <c r="I726" s="79" t="s">
        <v>2760</v>
      </c>
      <c r="J726" s="79" t="s">
        <v>843</v>
      </c>
      <c r="K726" s="79" t="s">
        <v>707</v>
      </c>
      <c r="L726" s="79" t="s">
        <v>1195</v>
      </c>
      <c r="Y726" s="79" t="s">
        <v>2061</v>
      </c>
    </row>
    <row r="727" spans="1:25" ht="12.75" customHeight="1" x14ac:dyDescent="0.2">
      <c r="A727" s="91">
        <f t="shared" si="22"/>
        <v>1</v>
      </c>
      <c r="B727" s="79" t="s">
        <v>1193</v>
      </c>
      <c r="C727" s="79" t="s">
        <v>1193</v>
      </c>
      <c r="D727" s="79" t="s">
        <v>2600</v>
      </c>
      <c r="E727" s="55" t="s">
        <v>3198</v>
      </c>
      <c r="F727" s="79" t="s">
        <v>2600</v>
      </c>
      <c r="G727" s="79" t="s">
        <v>2601</v>
      </c>
      <c r="H727" s="79" t="s">
        <v>2759</v>
      </c>
      <c r="I727" s="79" t="s">
        <v>2760</v>
      </c>
      <c r="J727" s="79" t="s">
        <v>843</v>
      </c>
      <c r="K727" s="79" t="s">
        <v>707</v>
      </c>
      <c r="L727" s="79" t="s">
        <v>1195</v>
      </c>
      <c r="Y727" s="79" t="s">
        <v>2355</v>
      </c>
    </row>
    <row r="728" spans="1:25" ht="12.75" customHeight="1" x14ac:dyDescent="0.2">
      <c r="A728" s="91">
        <f t="shared" si="22"/>
        <v>1</v>
      </c>
      <c r="B728" s="79" t="s">
        <v>1290</v>
      </c>
      <c r="C728" s="79" t="s">
        <v>1290</v>
      </c>
      <c r="D728" s="79" t="s">
        <v>1289</v>
      </c>
      <c r="E728" s="55" t="s">
        <v>3199</v>
      </c>
      <c r="F728" s="79" t="s">
        <v>1289</v>
      </c>
      <c r="G728" s="79" t="s">
        <v>1291</v>
      </c>
      <c r="H728" s="79" t="s">
        <v>2762</v>
      </c>
      <c r="I728" s="79" t="s">
        <v>2774</v>
      </c>
      <c r="J728" s="79" t="s">
        <v>1273</v>
      </c>
      <c r="K728" s="79" t="s">
        <v>707</v>
      </c>
      <c r="L728" s="79" t="s">
        <v>1274</v>
      </c>
      <c r="Y728" s="79" t="s">
        <v>1760</v>
      </c>
    </row>
    <row r="729" spans="1:25" ht="12.75" customHeight="1" x14ac:dyDescent="0.2">
      <c r="A729" s="91">
        <f t="shared" si="22"/>
        <v>1</v>
      </c>
      <c r="B729" s="79" t="s">
        <v>1442</v>
      </c>
      <c r="C729" s="79" t="s">
        <v>1442</v>
      </c>
      <c r="D729" s="79" t="s">
        <v>1441</v>
      </c>
      <c r="E729" s="55" t="s">
        <v>3200</v>
      </c>
      <c r="F729" s="79" t="s">
        <v>1441</v>
      </c>
      <c r="G729" s="79" t="s">
        <v>1443</v>
      </c>
      <c r="H729" s="79" t="s">
        <v>2762</v>
      </c>
      <c r="I729" s="79" t="s">
        <v>2774</v>
      </c>
      <c r="J729" s="79" t="s">
        <v>1268</v>
      </c>
      <c r="K729" s="79" t="s">
        <v>707</v>
      </c>
      <c r="L729" s="79" t="s">
        <v>1269</v>
      </c>
      <c r="Y729" s="79" t="s">
        <v>1146</v>
      </c>
    </row>
    <row r="730" spans="1:25" ht="12.75" customHeight="1" x14ac:dyDescent="0.2">
      <c r="A730" s="91">
        <f t="shared" si="22"/>
        <v>1</v>
      </c>
      <c r="B730" s="79" t="s">
        <v>1741</v>
      </c>
      <c r="C730" s="79" t="s">
        <v>1741</v>
      </c>
      <c r="D730" s="79" t="s">
        <v>1740</v>
      </c>
      <c r="E730" s="55" t="s">
        <v>3201</v>
      </c>
      <c r="F730" s="79" t="s">
        <v>1740</v>
      </c>
      <c r="G730" s="79" t="s">
        <v>1742</v>
      </c>
      <c r="H730" s="79" t="s">
        <v>2775</v>
      </c>
      <c r="I730" s="79" t="s">
        <v>2776</v>
      </c>
      <c r="J730" s="79" t="s">
        <v>1743</v>
      </c>
      <c r="K730" s="79" t="s">
        <v>707</v>
      </c>
      <c r="L730" s="79" t="s">
        <v>1744</v>
      </c>
      <c r="Y730" s="79" t="s">
        <v>1066</v>
      </c>
    </row>
    <row r="731" spans="1:25" ht="12.75" customHeight="1" x14ac:dyDescent="0.2">
      <c r="A731" s="91">
        <f t="shared" si="22"/>
        <v>1</v>
      </c>
      <c r="B731" s="79" t="s">
        <v>2704</v>
      </c>
      <c r="C731" s="79" t="s">
        <v>2704</v>
      </c>
      <c r="D731" s="79" t="s">
        <v>2703</v>
      </c>
      <c r="E731" s="55" t="s">
        <v>3201</v>
      </c>
      <c r="F731" s="79" t="s">
        <v>2703</v>
      </c>
      <c r="G731" s="79" t="s">
        <v>2705</v>
      </c>
      <c r="H731" s="79" t="s">
        <v>2775</v>
      </c>
      <c r="I731" s="79" t="s">
        <v>2776</v>
      </c>
      <c r="J731" s="79" t="s">
        <v>1743</v>
      </c>
      <c r="K731" s="79" t="s">
        <v>707</v>
      </c>
      <c r="L731" s="79" t="s">
        <v>1744</v>
      </c>
      <c r="Y731" s="79" t="s">
        <v>703</v>
      </c>
    </row>
    <row r="732" spans="1:25" ht="12.75" customHeight="1" x14ac:dyDescent="0.2">
      <c r="A732" s="91">
        <f t="shared" si="22"/>
        <v>1</v>
      </c>
      <c r="B732" s="79" t="s">
        <v>1721</v>
      </c>
      <c r="C732" s="79" t="s">
        <v>1721</v>
      </c>
      <c r="D732" s="79" t="s">
        <v>1720</v>
      </c>
      <c r="E732" s="55" t="s">
        <v>3202</v>
      </c>
      <c r="F732" s="79" t="s">
        <v>1720</v>
      </c>
      <c r="G732" s="79" t="s">
        <v>2699</v>
      </c>
      <c r="H732" s="79" t="s">
        <v>2775</v>
      </c>
      <c r="I732" s="79" t="s">
        <v>2777</v>
      </c>
      <c r="J732" s="79" t="s">
        <v>1723</v>
      </c>
      <c r="K732" s="79" t="s">
        <v>707</v>
      </c>
      <c r="L732" s="79" t="s">
        <v>1724</v>
      </c>
      <c r="Y732" s="79" t="s">
        <v>1095</v>
      </c>
    </row>
    <row r="733" spans="1:25" ht="12.75" customHeight="1" x14ac:dyDescent="0.2">
      <c r="A733" s="91">
        <f t="shared" si="22"/>
        <v>1</v>
      </c>
      <c r="B733" s="79" t="s">
        <v>1721</v>
      </c>
      <c r="C733" s="79" t="s">
        <v>1721</v>
      </c>
      <c r="D733" s="79" t="s">
        <v>2698</v>
      </c>
      <c r="E733" s="55" t="s">
        <v>3202</v>
      </c>
      <c r="F733" s="79" t="s">
        <v>2698</v>
      </c>
      <c r="G733" s="79" t="s">
        <v>2699</v>
      </c>
      <c r="H733" s="79" t="s">
        <v>2775</v>
      </c>
      <c r="I733" s="79" t="s">
        <v>2777</v>
      </c>
      <c r="J733" s="79" t="s">
        <v>1723</v>
      </c>
      <c r="K733" s="79" t="s">
        <v>707</v>
      </c>
      <c r="L733" s="79" t="s">
        <v>1724</v>
      </c>
      <c r="Y733" s="79" t="s">
        <v>1035</v>
      </c>
    </row>
    <row r="734" spans="1:25" ht="12.75" customHeight="1" x14ac:dyDescent="0.2">
      <c r="A734" s="91">
        <f t="shared" si="22"/>
        <v>1</v>
      </c>
      <c r="B734" s="79" t="s">
        <v>1703</v>
      </c>
      <c r="C734" s="79" t="s">
        <v>1703</v>
      </c>
      <c r="D734" s="79" t="s">
        <v>1702</v>
      </c>
      <c r="E734" s="55" t="s">
        <v>3203</v>
      </c>
      <c r="F734" s="79" t="s">
        <v>1702</v>
      </c>
      <c r="G734" s="79" t="s">
        <v>1704</v>
      </c>
      <c r="H734" s="79" t="s">
        <v>2775</v>
      </c>
      <c r="I734" s="79" t="s">
        <v>2778</v>
      </c>
      <c r="J734" s="79" t="s">
        <v>1705</v>
      </c>
      <c r="K734" s="79" t="s">
        <v>707</v>
      </c>
      <c r="L734" s="79" t="s">
        <v>1706</v>
      </c>
      <c r="Y734" s="79" t="s">
        <v>2588</v>
      </c>
    </row>
    <row r="735" spans="1:25" ht="12.75" customHeight="1" x14ac:dyDescent="0.2">
      <c r="A735" s="91">
        <f t="shared" si="22"/>
        <v>1</v>
      </c>
      <c r="B735" s="79" t="s">
        <v>1703</v>
      </c>
      <c r="C735" s="79" t="s">
        <v>1703</v>
      </c>
      <c r="D735" s="79" t="s">
        <v>2697</v>
      </c>
      <c r="E735" s="55" t="s">
        <v>3203</v>
      </c>
      <c r="F735" s="79" t="s">
        <v>2697</v>
      </c>
      <c r="G735" s="79" t="s">
        <v>1704</v>
      </c>
      <c r="H735" s="79" t="s">
        <v>2775</v>
      </c>
      <c r="I735" s="79" t="s">
        <v>2778</v>
      </c>
      <c r="J735" s="79" t="s">
        <v>1705</v>
      </c>
      <c r="K735" s="79" t="s">
        <v>707</v>
      </c>
      <c r="L735" s="79" t="s">
        <v>1706</v>
      </c>
      <c r="Y735" s="79" t="s">
        <v>1156</v>
      </c>
    </row>
    <row r="736" spans="1:25" ht="12.75" customHeight="1" x14ac:dyDescent="0.2">
      <c r="A736" s="91">
        <f t="shared" si="22"/>
        <v>1</v>
      </c>
      <c r="B736" s="79" t="s">
        <v>1708</v>
      </c>
      <c r="C736" s="79" t="s">
        <v>1708</v>
      </c>
      <c r="D736" s="79" t="s">
        <v>1707</v>
      </c>
      <c r="E736" s="55" t="s">
        <v>3204</v>
      </c>
      <c r="F736" s="79" t="s">
        <v>1707</v>
      </c>
      <c r="G736" s="79" t="s">
        <v>1709</v>
      </c>
      <c r="H736" s="79" t="s">
        <v>2775</v>
      </c>
      <c r="I736" s="79" t="s">
        <v>2779</v>
      </c>
      <c r="J736" s="79" t="s">
        <v>1710</v>
      </c>
      <c r="K736" s="79" t="s">
        <v>707</v>
      </c>
      <c r="L736" s="79" t="s">
        <v>1711</v>
      </c>
      <c r="Y736" s="79" t="s">
        <v>1161</v>
      </c>
    </row>
    <row r="737" spans="1:25" ht="12.75" customHeight="1" x14ac:dyDescent="0.2">
      <c r="A737" s="91">
        <f t="shared" si="22"/>
        <v>1</v>
      </c>
      <c r="B737" s="79" t="s">
        <v>1954</v>
      </c>
      <c r="C737" s="79" t="s">
        <v>1954</v>
      </c>
      <c r="D737" s="79" t="s">
        <v>1953</v>
      </c>
      <c r="E737" s="55" t="s">
        <v>3205</v>
      </c>
      <c r="F737" s="79" t="s">
        <v>1953</v>
      </c>
      <c r="G737" s="79" t="s">
        <v>1955</v>
      </c>
      <c r="H737" s="79" t="s">
        <v>2770</v>
      </c>
      <c r="I737" s="79" t="s">
        <v>2764</v>
      </c>
      <c r="J737" s="79" t="s">
        <v>1817</v>
      </c>
      <c r="K737" s="79" t="s">
        <v>723</v>
      </c>
      <c r="L737" s="79" t="s">
        <v>1818</v>
      </c>
      <c r="Y737" s="79" t="s">
        <v>1071</v>
      </c>
    </row>
    <row r="738" spans="1:25" ht="12.75" customHeight="1" x14ac:dyDescent="0.2">
      <c r="A738" s="91">
        <f t="shared" si="22"/>
        <v>1</v>
      </c>
      <c r="B738" s="79" t="s">
        <v>1954</v>
      </c>
      <c r="C738" s="79" t="s">
        <v>1954</v>
      </c>
      <c r="D738" s="79" t="s">
        <v>2718</v>
      </c>
      <c r="E738" s="55" t="s">
        <v>3205</v>
      </c>
      <c r="F738" s="79" t="s">
        <v>2718</v>
      </c>
      <c r="G738" s="79" t="s">
        <v>1955</v>
      </c>
      <c r="H738" s="79" t="s">
        <v>2770</v>
      </c>
      <c r="I738" s="79" t="s">
        <v>2764</v>
      </c>
      <c r="J738" s="79" t="s">
        <v>1817</v>
      </c>
      <c r="K738" s="79" t="s">
        <v>723</v>
      </c>
      <c r="L738" s="79" t="s">
        <v>1818</v>
      </c>
      <c r="Y738" s="79" t="s">
        <v>1077</v>
      </c>
    </row>
    <row r="739" spans="1:25" ht="12.75" customHeight="1" x14ac:dyDescent="0.2">
      <c r="A739" s="91">
        <f t="shared" si="22"/>
        <v>1</v>
      </c>
      <c r="B739" s="79" t="s">
        <v>1266</v>
      </c>
      <c r="C739" s="79" t="s">
        <v>1266</v>
      </c>
      <c r="D739" s="79" t="s">
        <v>1265</v>
      </c>
      <c r="E739" s="55" t="s">
        <v>3200</v>
      </c>
      <c r="F739" s="79" t="s">
        <v>1265</v>
      </c>
      <c r="G739" s="79" t="s">
        <v>1267</v>
      </c>
      <c r="H739" s="79" t="s">
        <v>2762</v>
      </c>
      <c r="I739" s="79" t="s">
        <v>2774</v>
      </c>
      <c r="J739" s="79" t="s">
        <v>1268</v>
      </c>
      <c r="K739" s="79" t="s">
        <v>707</v>
      </c>
      <c r="L739" s="79" t="s">
        <v>1269</v>
      </c>
      <c r="Y739" s="79" t="s">
        <v>1169</v>
      </c>
    </row>
    <row r="740" spans="1:25" ht="12.75" customHeight="1" x14ac:dyDescent="0.2">
      <c r="A740" s="91">
        <f t="shared" si="22"/>
        <v>1</v>
      </c>
      <c r="B740" s="79" t="s">
        <v>2312</v>
      </c>
      <c r="C740" s="79" t="s">
        <v>2312</v>
      </c>
      <c r="D740" s="79" t="s">
        <v>2311</v>
      </c>
      <c r="E740" s="55" t="s">
        <v>3206</v>
      </c>
      <c r="F740" s="79" t="s">
        <v>2311</v>
      </c>
      <c r="G740" s="79" t="s">
        <v>2313</v>
      </c>
      <c r="H740" s="79" t="s">
        <v>2782</v>
      </c>
      <c r="I740" s="79" t="s">
        <v>2783</v>
      </c>
      <c r="J740" s="79" t="s">
        <v>2314</v>
      </c>
      <c r="K740" s="79" t="s">
        <v>707</v>
      </c>
      <c r="L740" s="79" t="s">
        <v>2315</v>
      </c>
      <c r="Y740" s="79" t="s">
        <v>1015</v>
      </c>
    </row>
    <row r="741" spans="1:25" ht="12.75" customHeight="1" x14ac:dyDescent="0.2">
      <c r="A741" s="91">
        <f t="shared" si="22"/>
        <v>1</v>
      </c>
      <c r="B741" s="79" t="s">
        <v>2312</v>
      </c>
      <c r="C741" s="79" t="s">
        <v>2312</v>
      </c>
      <c r="D741" s="79" t="s">
        <v>2737</v>
      </c>
      <c r="E741" s="55" t="s">
        <v>3206</v>
      </c>
      <c r="F741" s="79" t="s">
        <v>2737</v>
      </c>
      <c r="G741" s="79" t="s">
        <v>2313</v>
      </c>
      <c r="H741" s="79" t="s">
        <v>2782</v>
      </c>
      <c r="I741" s="79" t="s">
        <v>2783</v>
      </c>
      <c r="J741" s="79" t="s">
        <v>2314</v>
      </c>
      <c r="K741" s="79" t="s">
        <v>707</v>
      </c>
      <c r="L741" s="79" t="s">
        <v>2315</v>
      </c>
      <c r="Y741" s="79" t="s">
        <v>2306</v>
      </c>
    </row>
    <row r="742" spans="1:25" ht="12.75" customHeight="1" x14ac:dyDescent="0.2">
      <c r="A742" s="91">
        <f t="shared" si="22"/>
        <v>1</v>
      </c>
      <c r="B742" s="79" t="s">
        <v>2323</v>
      </c>
      <c r="C742" s="79" t="s">
        <v>2323</v>
      </c>
      <c r="D742" s="79" t="s">
        <v>2322</v>
      </c>
      <c r="E742" s="55" t="s">
        <v>3207</v>
      </c>
      <c r="F742" s="79" t="s">
        <v>2322</v>
      </c>
      <c r="G742" s="79" t="s">
        <v>1992</v>
      </c>
      <c r="H742" s="79" t="s">
        <v>2782</v>
      </c>
      <c r="I742" s="79" t="s">
        <v>2784</v>
      </c>
      <c r="J742" s="79" t="s">
        <v>1979</v>
      </c>
      <c r="K742" s="79" t="s">
        <v>707</v>
      </c>
      <c r="L742" s="79" t="s">
        <v>1980</v>
      </c>
      <c r="Y742" s="79" t="s">
        <v>2301</v>
      </c>
    </row>
    <row r="743" spans="1:25" ht="12.75" customHeight="1" x14ac:dyDescent="0.2">
      <c r="A743" s="91">
        <f t="shared" si="22"/>
        <v>1</v>
      </c>
      <c r="B743" s="79" t="s">
        <v>2321</v>
      </c>
      <c r="C743" s="79" t="s">
        <v>2321</v>
      </c>
      <c r="D743" s="79" t="s">
        <v>2320</v>
      </c>
      <c r="E743" s="55" t="s">
        <v>3208</v>
      </c>
      <c r="F743" s="79" t="s">
        <v>2320</v>
      </c>
      <c r="G743" s="79" t="s">
        <v>1913</v>
      </c>
      <c r="H743" s="79" t="s">
        <v>2782</v>
      </c>
      <c r="I743" s="79" t="s">
        <v>2764</v>
      </c>
      <c r="J743" s="79" t="s">
        <v>1914</v>
      </c>
      <c r="K743" s="79" t="s">
        <v>1489</v>
      </c>
      <c r="L743" s="79" t="s">
        <v>1915</v>
      </c>
      <c r="Y743" s="79" t="s">
        <v>2418</v>
      </c>
    </row>
    <row r="744" spans="1:25" ht="12.75" customHeight="1" x14ac:dyDescent="0.2">
      <c r="A744" s="91">
        <f t="shared" si="22"/>
        <v>1</v>
      </c>
      <c r="B744" s="79" t="s">
        <v>2319</v>
      </c>
      <c r="C744" s="79" t="s">
        <v>2319</v>
      </c>
      <c r="D744" s="79" t="s">
        <v>2318</v>
      </c>
      <c r="E744" s="55" t="s">
        <v>3209</v>
      </c>
      <c r="F744" s="79" t="s">
        <v>2318</v>
      </c>
      <c r="G744" s="79" t="s">
        <v>1908</v>
      </c>
      <c r="H744" s="79" t="s">
        <v>2782</v>
      </c>
      <c r="I744" s="79" t="s">
        <v>2764</v>
      </c>
      <c r="J744" s="79" t="s">
        <v>1909</v>
      </c>
      <c r="K744" s="79" t="s">
        <v>1489</v>
      </c>
      <c r="L744" s="79" t="s">
        <v>1910</v>
      </c>
      <c r="Y744" s="79" t="s">
        <v>1929</v>
      </c>
    </row>
    <row r="745" spans="1:25" ht="12.75" customHeight="1" x14ac:dyDescent="0.2">
      <c r="A745" s="91">
        <f t="shared" si="22"/>
        <v>1</v>
      </c>
      <c r="B745" s="79" t="s">
        <v>2317</v>
      </c>
      <c r="C745" s="79" t="s">
        <v>2317</v>
      </c>
      <c r="D745" s="79" t="s">
        <v>2316</v>
      </c>
      <c r="E745" s="55" t="s">
        <v>3210</v>
      </c>
      <c r="F745" s="79" t="s">
        <v>2316</v>
      </c>
      <c r="G745" s="79" t="s">
        <v>1900</v>
      </c>
      <c r="H745" s="79" t="s">
        <v>2782</v>
      </c>
      <c r="I745" s="79" t="s">
        <v>2764</v>
      </c>
      <c r="J745" s="79" t="s">
        <v>1901</v>
      </c>
      <c r="K745" s="79" t="s">
        <v>1489</v>
      </c>
      <c r="L745" s="79" t="s">
        <v>1902</v>
      </c>
      <c r="Y745" s="79" t="s">
        <v>1934</v>
      </c>
    </row>
    <row r="746" spans="1:25" ht="12.75" customHeight="1" x14ac:dyDescent="0.2">
      <c r="A746" s="91">
        <f t="shared" si="22"/>
        <v>1</v>
      </c>
      <c r="B746" s="79" t="s">
        <v>2478</v>
      </c>
      <c r="C746" s="79" t="s">
        <v>2478</v>
      </c>
      <c r="D746" s="79" t="s">
        <v>2477</v>
      </c>
      <c r="E746" s="55" t="s">
        <v>3211</v>
      </c>
      <c r="F746" s="79" t="s">
        <v>2477</v>
      </c>
      <c r="G746" s="79" t="s">
        <v>2479</v>
      </c>
      <c r="H746" s="79" t="s">
        <v>2759</v>
      </c>
      <c r="I746" s="79" t="s">
        <v>2785</v>
      </c>
      <c r="J746" s="79" t="s">
        <v>2480</v>
      </c>
      <c r="K746" s="79" t="s">
        <v>707</v>
      </c>
      <c r="L746" s="79" t="s">
        <v>2481</v>
      </c>
      <c r="Y746" s="79" t="s">
        <v>1936</v>
      </c>
    </row>
    <row r="747" spans="1:25" ht="12.75" customHeight="1" x14ac:dyDescent="0.2">
      <c r="A747" s="91">
        <f t="shared" si="22"/>
        <v>1</v>
      </c>
      <c r="B747" s="79" t="s">
        <v>1384</v>
      </c>
      <c r="C747" s="79" t="s">
        <v>1384</v>
      </c>
      <c r="D747" s="79" t="s">
        <v>1383</v>
      </c>
      <c r="E747" s="55" t="s">
        <v>3212</v>
      </c>
      <c r="F747" s="79" t="s">
        <v>1383</v>
      </c>
      <c r="G747" s="79" t="s">
        <v>1385</v>
      </c>
      <c r="H747" s="79" t="s">
        <v>2762</v>
      </c>
      <c r="I747" s="79" t="s">
        <v>2769</v>
      </c>
      <c r="J747" s="79" t="s">
        <v>808</v>
      </c>
      <c r="K747" s="79" t="s">
        <v>707</v>
      </c>
      <c r="L747" s="79" t="s">
        <v>1386</v>
      </c>
      <c r="Y747" s="79" t="s">
        <v>2007</v>
      </c>
    </row>
    <row r="748" spans="1:25" ht="12.75" customHeight="1" x14ac:dyDescent="0.2">
      <c r="A748" s="91">
        <f t="shared" si="22"/>
        <v>1</v>
      </c>
      <c r="B748" s="79" t="s">
        <v>1577</v>
      </c>
      <c r="C748" s="79" t="s">
        <v>1577</v>
      </c>
      <c r="D748" s="79" t="s">
        <v>1576</v>
      </c>
      <c r="E748" s="55" t="s">
        <v>3213</v>
      </c>
      <c r="F748" s="79" t="s">
        <v>1576</v>
      </c>
      <c r="G748" s="79" t="s">
        <v>1578</v>
      </c>
      <c r="H748" s="79" t="s">
        <v>2786</v>
      </c>
      <c r="I748" s="79" t="s">
        <v>2787</v>
      </c>
      <c r="J748" s="79" t="s">
        <v>1579</v>
      </c>
      <c r="K748" s="79" t="s">
        <v>707</v>
      </c>
      <c r="L748" s="79" t="s">
        <v>1580</v>
      </c>
      <c r="Y748" s="79" t="s">
        <v>2005</v>
      </c>
    </row>
    <row r="749" spans="1:25" ht="12.75" customHeight="1" x14ac:dyDescent="0.2">
      <c r="A749" s="91">
        <f t="shared" si="22"/>
        <v>1</v>
      </c>
      <c r="B749" s="79" t="s">
        <v>1766</v>
      </c>
      <c r="C749" s="79" t="s">
        <v>1766</v>
      </c>
      <c r="D749" s="79" t="s">
        <v>1765</v>
      </c>
      <c r="E749" s="55" t="s">
        <v>3214</v>
      </c>
      <c r="F749" s="79" t="s">
        <v>1765</v>
      </c>
      <c r="G749" s="79" t="s">
        <v>1767</v>
      </c>
      <c r="H749" s="79" t="s">
        <v>2775</v>
      </c>
      <c r="I749" s="79" t="s">
        <v>2779</v>
      </c>
      <c r="J749" s="79" t="s">
        <v>1768</v>
      </c>
      <c r="K749" s="79" t="s">
        <v>707</v>
      </c>
      <c r="L749" s="79" t="s">
        <v>1769</v>
      </c>
      <c r="Y749" s="79" t="s">
        <v>2017</v>
      </c>
    </row>
    <row r="750" spans="1:25" ht="12.75" customHeight="1" x14ac:dyDescent="0.2">
      <c r="A750" s="91">
        <f t="shared" si="22"/>
        <v>1</v>
      </c>
      <c r="B750" s="79" t="s">
        <v>1167</v>
      </c>
      <c r="C750" s="79" t="s">
        <v>1167</v>
      </c>
      <c r="D750" s="79" t="s">
        <v>1166</v>
      </c>
      <c r="E750" s="55" t="s">
        <v>3215</v>
      </c>
      <c r="F750" s="79" t="s">
        <v>1166</v>
      </c>
      <c r="G750" s="79" t="s">
        <v>1168</v>
      </c>
      <c r="H750" s="79" t="s">
        <v>2772</v>
      </c>
      <c r="I750" s="79" t="s">
        <v>2788</v>
      </c>
      <c r="J750" s="79" t="s">
        <v>940</v>
      </c>
      <c r="K750" s="79" t="s">
        <v>707</v>
      </c>
      <c r="L750" s="79" t="s">
        <v>941</v>
      </c>
      <c r="Y750" s="79" t="s">
        <v>2015</v>
      </c>
    </row>
    <row r="751" spans="1:25" ht="12.75" customHeight="1" x14ac:dyDescent="0.2">
      <c r="A751" s="91">
        <f t="shared" si="22"/>
        <v>1</v>
      </c>
      <c r="B751" s="79" t="s">
        <v>3156</v>
      </c>
      <c r="C751" s="79" t="s">
        <v>3156</v>
      </c>
      <c r="D751" s="79" t="s">
        <v>3157</v>
      </c>
      <c r="E751" s="55" t="s">
        <v>3216</v>
      </c>
      <c r="F751" s="79" t="s">
        <v>3157</v>
      </c>
      <c r="G751" s="79" t="s">
        <v>3155</v>
      </c>
      <c r="H751" s="79" t="s">
        <v>2762</v>
      </c>
      <c r="I751" s="79" t="s">
        <v>2790</v>
      </c>
      <c r="J751" s="79" t="s">
        <v>979</v>
      </c>
      <c r="K751" s="79" t="s">
        <v>707</v>
      </c>
      <c r="L751" s="79" t="s">
        <v>980</v>
      </c>
      <c r="Y751" s="79" t="s">
        <v>2010</v>
      </c>
    </row>
    <row r="752" spans="1:25" ht="12.75" customHeight="1" x14ac:dyDescent="0.2">
      <c r="A752" s="91">
        <f t="shared" si="22"/>
        <v>1</v>
      </c>
      <c r="B752" s="79" t="s">
        <v>2716</v>
      </c>
      <c r="C752" s="79" t="s">
        <v>2716</v>
      </c>
      <c r="D752" s="79" t="s">
        <v>2715</v>
      </c>
      <c r="E752" s="55" t="s">
        <v>3209</v>
      </c>
      <c r="F752" s="79" t="s">
        <v>2715</v>
      </c>
      <c r="G752" s="79" t="s">
        <v>1908</v>
      </c>
      <c r="H752" s="79" t="s">
        <v>2782</v>
      </c>
      <c r="I752" s="79" t="s">
        <v>2764</v>
      </c>
      <c r="J752" s="79" t="s">
        <v>1909</v>
      </c>
      <c r="K752" s="79" t="s">
        <v>1489</v>
      </c>
      <c r="L752" s="79" t="s">
        <v>1910</v>
      </c>
      <c r="Y752" s="79" t="s">
        <v>2043</v>
      </c>
    </row>
    <row r="753" spans="1:25" ht="12.75" customHeight="1" x14ac:dyDescent="0.2">
      <c r="A753" s="91">
        <f t="shared" si="22"/>
        <v>1</v>
      </c>
      <c r="B753" s="79" t="s">
        <v>1945</v>
      </c>
      <c r="C753" s="79" t="s">
        <v>1945</v>
      </c>
      <c r="D753" s="79" t="s">
        <v>1944</v>
      </c>
      <c r="E753" s="55" t="s">
        <v>3208</v>
      </c>
      <c r="F753" s="79" t="s">
        <v>1944</v>
      </c>
      <c r="G753" s="79" t="s">
        <v>1913</v>
      </c>
      <c r="H753" s="79" t="s">
        <v>2782</v>
      </c>
      <c r="I753" s="79" t="s">
        <v>2764</v>
      </c>
      <c r="J753" s="79" t="s">
        <v>1914</v>
      </c>
      <c r="K753" s="79" t="s">
        <v>1489</v>
      </c>
      <c r="L753" s="79" t="s">
        <v>1915</v>
      </c>
      <c r="Y753" s="79" t="s">
        <v>2049</v>
      </c>
    </row>
    <row r="754" spans="1:25" ht="12.75" customHeight="1" x14ac:dyDescent="0.2">
      <c r="A754" s="91">
        <f t="shared" si="22"/>
        <v>1</v>
      </c>
      <c r="B754" s="79" t="s">
        <v>1941</v>
      </c>
      <c r="C754" s="79" t="s">
        <v>1941</v>
      </c>
      <c r="D754" s="79" t="s">
        <v>1940</v>
      </c>
      <c r="E754" s="55" t="s">
        <v>3217</v>
      </c>
      <c r="F754" s="79" t="s">
        <v>1940</v>
      </c>
      <c r="G754" s="79" t="s">
        <v>1905</v>
      </c>
      <c r="H754" s="79" t="s">
        <v>2770</v>
      </c>
      <c r="I754" s="79" t="s">
        <v>2789</v>
      </c>
      <c r="J754" s="79" t="s">
        <v>1144</v>
      </c>
      <c r="K754" s="79" t="s">
        <v>707</v>
      </c>
      <c r="L754" s="79" t="s">
        <v>1145</v>
      </c>
      <c r="Y754" s="79" t="s">
        <v>2047</v>
      </c>
    </row>
    <row r="755" spans="1:25" ht="12.75" customHeight="1" x14ac:dyDescent="0.2">
      <c r="A755" s="91">
        <f t="shared" si="22"/>
        <v>1</v>
      </c>
      <c r="B755" s="79" t="s">
        <v>1939</v>
      </c>
      <c r="C755" s="79" t="s">
        <v>1939</v>
      </c>
      <c r="D755" s="79" t="s">
        <v>1938</v>
      </c>
      <c r="E755" s="55" t="s">
        <v>3210</v>
      </c>
      <c r="F755" s="79" t="s">
        <v>1938</v>
      </c>
      <c r="G755" s="79" t="s">
        <v>1900</v>
      </c>
      <c r="H755" s="79" t="s">
        <v>2782</v>
      </c>
      <c r="I755" s="79" t="s">
        <v>2764</v>
      </c>
      <c r="J755" s="79" t="s">
        <v>1901</v>
      </c>
      <c r="K755" s="79" t="s">
        <v>1489</v>
      </c>
      <c r="L755" s="79" t="s">
        <v>1902</v>
      </c>
      <c r="Y755" s="79" t="s">
        <v>2720</v>
      </c>
    </row>
    <row r="756" spans="1:25" ht="12.75" customHeight="1" x14ac:dyDescent="0.2">
      <c r="A756" s="91">
        <f t="shared" si="22"/>
        <v>1</v>
      </c>
      <c r="B756" s="79" t="s">
        <v>2535</v>
      </c>
      <c r="C756" s="79" t="s">
        <v>2535</v>
      </c>
      <c r="D756" s="79" t="s">
        <v>2534</v>
      </c>
      <c r="E756" s="55" t="s">
        <v>3187</v>
      </c>
      <c r="F756" s="79" t="s">
        <v>2534</v>
      </c>
      <c r="G756" s="79" t="s">
        <v>958</v>
      </c>
      <c r="H756" s="79" t="s">
        <v>2759</v>
      </c>
      <c r="I756" s="79" t="s">
        <v>2760</v>
      </c>
      <c r="J756" s="79" t="s">
        <v>843</v>
      </c>
      <c r="K756" s="79" t="s">
        <v>707</v>
      </c>
      <c r="L756" s="79" t="s">
        <v>955</v>
      </c>
      <c r="Y756" s="79" t="s">
        <v>2051</v>
      </c>
    </row>
    <row r="757" spans="1:25" ht="12.75" customHeight="1" x14ac:dyDescent="0.2">
      <c r="A757" s="91">
        <f t="shared" si="22"/>
        <v>1</v>
      </c>
      <c r="B757" s="79" t="s">
        <v>2537</v>
      </c>
      <c r="C757" s="79" t="s">
        <v>2537</v>
      </c>
      <c r="D757" s="79" t="s">
        <v>2536</v>
      </c>
      <c r="E757" s="55" t="s">
        <v>3218</v>
      </c>
      <c r="F757" s="79" t="s">
        <v>2536</v>
      </c>
      <c r="G757" s="79" t="s">
        <v>2472</v>
      </c>
      <c r="H757" s="79" t="s">
        <v>2762</v>
      </c>
      <c r="I757" s="79" t="s">
        <v>2790</v>
      </c>
      <c r="J757" s="79" t="s">
        <v>2473</v>
      </c>
      <c r="K757" s="79" t="s">
        <v>707</v>
      </c>
      <c r="L757" s="79" t="s">
        <v>2474</v>
      </c>
      <c r="Y757" s="79" t="s">
        <v>1828</v>
      </c>
    </row>
    <row r="758" spans="1:25" ht="12.75" customHeight="1" x14ac:dyDescent="0.2">
      <c r="A758" s="91">
        <f t="shared" si="22"/>
        <v>1</v>
      </c>
      <c r="B758" s="79" t="s">
        <v>2531</v>
      </c>
      <c r="C758" s="79" t="s">
        <v>2531</v>
      </c>
      <c r="D758" s="79" t="s">
        <v>2530</v>
      </c>
      <c r="E758" s="55" t="s">
        <v>3219</v>
      </c>
      <c r="F758" s="79" t="s">
        <v>2530</v>
      </c>
      <c r="G758" s="79" t="s">
        <v>2532</v>
      </c>
      <c r="H758" s="79" t="s">
        <v>2762</v>
      </c>
      <c r="I758" s="79" t="s">
        <v>813</v>
      </c>
      <c r="J758" s="79" t="s">
        <v>897</v>
      </c>
      <c r="K758" s="79" t="s">
        <v>898</v>
      </c>
      <c r="L758" s="79" t="s">
        <v>2533</v>
      </c>
      <c r="Y758" s="79" t="s">
        <v>1831</v>
      </c>
    </row>
    <row r="759" spans="1:25" ht="12.75" customHeight="1" x14ac:dyDescent="0.2">
      <c r="A759" s="91">
        <f t="shared" si="22"/>
        <v>1</v>
      </c>
      <c r="B759" s="79" t="s">
        <v>2525</v>
      </c>
      <c r="C759" s="79" t="s">
        <v>2525</v>
      </c>
      <c r="D759" s="79" t="s">
        <v>2524</v>
      </c>
      <c r="E759" s="55" t="s">
        <v>3187</v>
      </c>
      <c r="F759" s="79" t="s">
        <v>2524</v>
      </c>
      <c r="G759" s="79" t="s">
        <v>958</v>
      </c>
      <c r="H759" s="79" t="s">
        <v>2759</v>
      </c>
      <c r="I759" s="79" t="s">
        <v>2760</v>
      </c>
      <c r="J759" s="79" t="s">
        <v>843</v>
      </c>
      <c r="K759" s="79" t="s">
        <v>707</v>
      </c>
      <c r="L759" s="79" t="s">
        <v>955</v>
      </c>
      <c r="Y759" s="79" t="s">
        <v>2713</v>
      </c>
    </row>
    <row r="760" spans="1:25" ht="12.75" customHeight="1" x14ac:dyDescent="0.2">
      <c r="A760" s="91">
        <f t="shared" si="22"/>
        <v>1</v>
      </c>
      <c r="B760" s="79" t="s">
        <v>2527</v>
      </c>
      <c r="C760" s="79" t="s">
        <v>2527</v>
      </c>
      <c r="D760" s="79" t="s">
        <v>2526</v>
      </c>
      <c r="E760" s="55" t="s">
        <v>3220</v>
      </c>
      <c r="F760" s="79" t="s">
        <v>2526</v>
      </c>
      <c r="G760" s="79" t="s">
        <v>964</v>
      </c>
      <c r="H760" s="79" t="s">
        <v>2759</v>
      </c>
      <c r="I760" s="79" t="s">
        <v>2760</v>
      </c>
      <c r="J760" s="79" t="s">
        <v>965</v>
      </c>
      <c r="K760" s="79" t="s">
        <v>707</v>
      </c>
      <c r="L760" s="79" t="s">
        <v>966</v>
      </c>
      <c r="Y760" s="79" t="s">
        <v>2223</v>
      </c>
    </row>
    <row r="761" spans="1:25" ht="12.75" customHeight="1" x14ac:dyDescent="0.2">
      <c r="A761" s="91">
        <f t="shared" si="22"/>
        <v>1</v>
      </c>
      <c r="B761" s="79" t="s">
        <v>2529</v>
      </c>
      <c r="C761" s="79" t="s">
        <v>2529</v>
      </c>
      <c r="D761" s="79" t="s">
        <v>2528</v>
      </c>
      <c r="E761" s="55" t="s">
        <v>3218</v>
      </c>
      <c r="F761" s="79" t="s">
        <v>2528</v>
      </c>
      <c r="G761" s="79" t="s">
        <v>2472</v>
      </c>
      <c r="H761" s="79" t="s">
        <v>2762</v>
      </c>
      <c r="I761" s="79" t="s">
        <v>2790</v>
      </c>
      <c r="J761" s="79" t="s">
        <v>2473</v>
      </c>
      <c r="K761" s="79" t="s">
        <v>707</v>
      </c>
      <c r="L761" s="79" t="s">
        <v>2474</v>
      </c>
      <c r="Y761" s="79" t="s">
        <v>2365</v>
      </c>
    </row>
    <row r="762" spans="1:25" ht="12.75" customHeight="1" x14ac:dyDescent="0.2">
      <c r="A762" s="91">
        <f t="shared" si="22"/>
        <v>1</v>
      </c>
      <c r="B762" s="79" t="s">
        <v>2523</v>
      </c>
      <c r="C762" s="79" t="s">
        <v>2523</v>
      </c>
      <c r="D762" s="79" t="s">
        <v>2522</v>
      </c>
      <c r="E762" s="55" t="s">
        <v>3187</v>
      </c>
      <c r="F762" s="79" t="s">
        <v>2522</v>
      </c>
      <c r="G762" s="79" t="s">
        <v>954</v>
      </c>
      <c r="H762" s="79" t="s">
        <v>2759</v>
      </c>
      <c r="I762" s="79" t="s">
        <v>2760</v>
      </c>
      <c r="J762" s="79" t="s">
        <v>843</v>
      </c>
      <c r="K762" s="79" t="s">
        <v>707</v>
      </c>
      <c r="L762" s="79" t="s">
        <v>955</v>
      </c>
      <c r="Y762" s="79" t="s">
        <v>2745</v>
      </c>
    </row>
    <row r="763" spans="1:25" ht="12.75" customHeight="1" x14ac:dyDescent="0.2">
      <c r="A763" s="91">
        <f t="shared" si="22"/>
        <v>1</v>
      </c>
      <c r="B763" s="79" t="s">
        <v>1917</v>
      </c>
      <c r="C763" s="79" t="s">
        <v>1917</v>
      </c>
      <c r="D763" s="79" t="s">
        <v>1916</v>
      </c>
      <c r="E763" s="55" t="s">
        <v>3221</v>
      </c>
      <c r="F763" s="79" t="s">
        <v>1916</v>
      </c>
      <c r="G763" s="79" t="s">
        <v>1918</v>
      </c>
      <c r="H763" s="79" t="s">
        <v>2780</v>
      </c>
      <c r="I763" s="79" t="s">
        <v>2764</v>
      </c>
      <c r="J763" s="79" t="s">
        <v>1919</v>
      </c>
      <c r="K763" s="79" t="s">
        <v>1920</v>
      </c>
      <c r="L763" s="79" t="s">
        <v>1921</v>
      </c>
      <c r="Y763" s="79" t="s">
        <v>2423</v>
      </c>
    </row>
    <row r="764" spans="1:25" ht="12.75" customHeight="1" x14ac:dyDescent="0.2">
      <c r="A764" s="91">
        <f t="shared" si="22"/>
        <v>1</v>
      </c>
      <c r="B764" s="79" t="s">
        <v>1904</v>
      </c>
      <c r="C764" s="79" t="s">
        <v>1904</v>
      </c>
      <c r="D764" s="79" t="s">
        <v>1903</v>
      </c>
      <c r="E764" s="55" t="s">
        <v>3217</v>
      </c>
      <c r="F764" s="79" t="s">
        <v>1903</v>
      </c>
      <c r="G764" s="79" t="s">
        <v>1905</v>
      </c>
      <c r="H764" s="79" t="s">
        <v>2770</v>
      </c>
      <c r="I764" s="79" t="s">
        <v>2789</v>
      </c>
      <c r="J764" s="79" t="s">
        <v>1144</v>
      </c>
      <c r="K764" s="79" t="s">
        <v>707</v>
      </c>
      <c r="L764" s="79" t="s">
        <v>1145</v>
      </c>
      <c r="Y764" s="79" t="s">
        <v>1305</v>
      </c>
    </row>
    <row r="765" spans="1:25" ht="12.75" customHeight="1" x14ac:dyDescent="0.2">
      <c r="A765" s="91">
        <f t="shared" si="22"/>
        <v>1</v>
      </c>
      <c r="B765" s="79" t="s">
        <v>1899</v>
      </c>
      <c r="C765" s="79" t="s">
        <v>1899</v>
      </c>
      <c r="D765" s="79" t="s">
        <v>1898</v>
      </c>
      <c r="E765" s="55" t="s">
        <v>3210</v>
      </c>
      <c r="F765" s="79" t="s">
        <v>1898</v>
      </c>
      <c r="G765" s="79" t="s">
        <v>1900</v>
      </c>
      <c r="H765" s="79" t="s">
        <v>2782</v>
      </c>
      <c r="I765" s="79" t="s">
        <v>2764</v>
      </c>
      <c r="J765" s="79" t="s">
        <v>1901</v>
      </c>
      <c r="K765" s="79" t="s">
        <v>1489</v>
      </c>
      <c r="L765" s="79" t="s">
        <v>1902</v>
      </c>
      <c r="Y765" s="79" t="s">
        <v>2071</v>
      </c>
    </row>
    <row r="766" spans="1:25" ht="12.75" customHeight="1" x14ac:dyDescent="0.2">
      <c r="A766" s="91">
        <f t="shared" si="22"/>
        <v>1</v>
      </c>
      <c r="B766" s="79" t="s">
        <v>1912</v>
      </c>
      <c r="C766" s="79" t="s">
        <v>1912</v>
      </c>
      <c r="D766" s="79" t="s">
        <v>1911</v>
      </c>
      <c r="E766" s="55" t="s">
        <v>3208</v>
      </c>
      <c r="F766" s="79" t="s">
        <v>1911</v>
      </c>
      <c r="G766" s="79" t="s">
        <v>1913</v>
      </c>
      <c r="H766" s="79" t="s">
        <v>2782</v>
      </c>
      <c r="I766" s="79" t="s">
        <v>2764</v>
      </c>
      <c r="J766" s="79" t="s">
        <v>1914</v>
      </c>
      <c r="K766" s="79" t="s">
        <v>1489</v>
      </c>
      <c r="L766" s="79" t="s">
        <v>1915</v>
      </c>
      <c r="Y766" s="79" t="s">
        <v>1961</v>
      </c>
    </row>
    <row r="767" spans="1:25" ht="12.75" customHeight="1" x14ac:dyDescent="0.2">
      <c r="A767" s="91">
        <f t="shared" ref="A767:A830" si="23">IF(B767=B68,1,"CHECK")</f>
        <v>1</v>
      </c>
      <c r="B767" s="79" t="s">
        <v>1907</v>
      </c>
      <c r="C767" s="79" t="s">
        <v>1907</v>
      </c>
      <c r="D767" s="79" t="s">
        <v>1906</v>
      </c>
      <c r="E767" s="55" t="s">
        <v>3209</v>
      </c>
      <c r="F767" s="79" t="s">
        <v>1906</v>
      </c>
      <c r="G767" s="79" t="s">
        <v>1908</v>
      </c>
      <c r="H767" s="79" t="s">
        <v>2782</v>
      </c>
      <c r="I767" s="79" t="s">
        <v>2764</v>
      </c>
      <c r="J767" s="79" t="s">
        <v>1909</v>
      </c>
      <c r="K767" s="79" t="s">
        <v>1489</v>
      </c>
      <c r="L767" s="79" t="s">
        <v>1910</v>
      </c>
      <c r="Y767" s="79" t="s">
        <v>1181</v>
      </c>
    </row>
    <row r="768" spans="1:25" ht="12.75" customHeight="1" x14ac:dyDescent="0.2">
      <c r="A768" s="91">
        <f t="shared" si="23"/>
        <v>1</v>
      </c>
      <c r="B768" s="79" t="s">
        <v>3097</v>
      </c>
      <c r="C768" s="79" t="s">
        <v>3097</v>
      </c>
      <c r="D768" s="79" t="s">
        <v>3098</v>
      </c>
      <c r="E768" s="55" t="s">
        <v>3222</v>
      </c>
      <c r="F768" s="79" t="s">
        <v>3098</v>
      </c>
      <c r="G768" s="79" t="s">
        <v>1987</v>
      </c>
      <c r="H768" s="79" t="s">
        <v>2780</v>
      </c>
      <c r="I768" s="79" t="s">
        <v>2764</v>
      </c>
      <c r="J768" s="79" t="s">
        <v>1988</v>
      </c>
      <c r="K768" s="79" t="s">
        <v>1489</v>
      </c>
      <c r="L768" s="79" t="s">
        <v>1989</v>
      </c>
      <c r="Y768" s="79" t="s">
        <v>1184</v>
      </c>
    </row>
    <row r="769" spans="1:25" ht="12.75" customHeight="1" x14ac:dyDescent="0.2">
      <c r="A769" s="91">
        <f t="shared" si="23"/>
        <v>1</v>
      </c>
      <c r="B769" s="79" t="s">
        <v>1897</v>
      </c>
      <c r="C769" s="79" t="s">
        <v>1897</v>
      </c>
      <c r="D769" s="79" t="s">
        <v>1896</v>
      </c>
      <c r="E769" s="55" t="s">
        <v>3223</v>
      </c>
      <c r="F769" s="79" t="s">
        <v>1896</v>
      </c>
      <c r="G769" s="79" t="s">
        <v>1487</v>
      </c>
      <c r="H769" s="79" t="s">
        <v>2791</v>
      </c>
      <c r="I769" s="79" t="s">
        <v>1489</v>
      </c>
      <c r="J769" s="79" t="s">
        <v>1488</v>
      </c>
      <c r="K769" s="79" t="s">
        <v>1489</v>
      </c>
      <c r="L769" s="79" t="s">
        <v>1490</v>
      </c>
      <c r="Y769" s="79" t="s">
        <v>1313</v>
      </c>
    </row>
    <row r="770" spans="1:25" ht="12.75" customHeight="1" x14ac:dyDescent="0.2">
      <c r="A770" s="91">
        <f t="shared" si="23"/>
        <v>1</v>
      </c>
      <c r="B770" s="79" t="s">
        <v>1923</v>
      </c>
      <c r="C770" s="79" t="s">
        <v>1923</v>
      </c>
      <c r="D770" s="79" t="s">
        <v>1922</v>
      </c>
      <c r="E770" s="55" t="s">
        <v>3224</v>
      </c>
      <c r="F770" s="79" t="s">
        <v>1922</v>
      </c>
      <c r="G770" s="79" t="s">
        <v>909</v>
      </c>
      <c r="H770" s="79" t="s">
        <v>2791</v>
      </c>
      <c r="I770" s="79" t="s">
        <v>2792</v>
      </c>
      <c r="J770" s="79" t="s">
        <v>910</v>
      </c>
      <c r="K770" s="79" t="s">
        <v>707</v>
      </c>
      <c r="L770" s="79" t="s">
        <v>911</v>
      </c>
      <c r="Y770" s="79" t="s">
        <v>2324</v>
      </c>
    </row>
    <row r="771" spans="1:25" ht="12.75" customHeight="1" x14ac:dyDescent="0.2">
      <c r="A771" s="91">
        <f t="shared" si="23"/>
        <v>1</v>
      </c>
      <c r="B771" s="79" t="s">
        <v>3099</v>
      </c>
      <c r="C771" s="79" t="s">
        <v>3099</v>
      </c>
      <c r="D771" s="79" t="s">
        <v>3100</v>
      </c>
      <c r="E771" s="55" t="s">
        <v>3225</v>
      </c>
      <c r="F771" s="79" t="s">
        <v>3100</v>
      </c>
      <c r="G771" s="79" t="s">
        <v>3101</v>
      </c>
      <c r="H771" s="79" t="s">
        <v>2782</v>
      </c>
      <c r="I771" s="79" t="s">
        <v>2792</v>
      </c>
      <c r="J771" s="79" t="s">
        <v>2257</v>
      </c>
      <c r="K771" s="79" t="s">
        <v>707</v>
      </c>
      <c r="L771" s="79" t="s">
        <v>2258</v>
      </c>
      <c r="Y771" s="79" t="s">
        <v>2360</v>
      </c>
    </row>
    <row r="772" spans="1:25" ht="12.75" customHeight="1" x14ac:dyDescent="0.2">
      <c r="A772" s="91">
        <f t="shared" si="23"/>
        <v>1</v>
      </c>
      <c r="B772" s="79" t="s">
        <v>3102</v>
      </c>
      <c r="C772" s="79" t="s">
        <v>3102</v>
      </c>
      <c r="D772" s="79" t="s">
        <v>3103</v>
      </c>
      <c r="E772" s="55" t="s">
        <v>3226</v>
      </c>
      <c r="F772" s="79" t="s">
        <v>3103</v>
      </c>
      <c r="G772" s="79" t="s">
        <v>3104</v>
      </c>
      <c r="H772" s="79" t="s">
        <v>2780</v>
      </c>
      <c r="I772" s="79" t="s">
        <v>2809</v>
      </c>
      <c r="J772" s="79" t="s">
        <v>3105</v>
      </c>
      <c r="K772" s="79" t="s">
        <v>707</v>
      </c>
      <c r="L772" s="79" t="s">
        <v>3106</v>
      </c>
      <c r="Y772" s="79" t="s">
        <v>2289</v>
      </c>
    </row>
    <row r="773" spans="1:25" ht="12.75" customHeight="1" x14ac:dyDescent="0.2">
      <c r="A773" s="91">
        <f t="shared" si="23"/>
        <v>1</v>
      </c>
      <c r="B773" s="79" t="s">
        <v>1925</v>
      </c>
      <c r="C773" s="79" t="s">
        <v>1925</v>
      </c>
      <c r="D773" s="79" t="s">
        <v>1924</v>
      </c>
      <c r="E773" s="55" t="s">
        <v>3227</v>
      </c>
      <c r="F773" s="79" t="s">
        <v>1924</v>
      </c>
      <c r="G773" s="79" t="s">
        <v>1926</v>
      </c>
      <c r="H773" s="79" t="s">
        <v>2782</v>
      </c>
      <c r="I773" s="79" t="s">
        <v>2784</v>
      </c>
      <c r="J773" s="79" t="s">
        <v>1927</v>
      </c>
      <c r="K773" s="79" t="s">
        <v>707</v>
      </c>
      <c r="L773" s="79" t="s">
        <v>1928</v>
      </c>
      <c r="Y773" s="79" t="s">
        <v>858</v>
      </c>
    </row>
    <row r="774" spans="1:25" ht="12.75" customHeight="1" x14ac:dyDescent="0.2">
      <c r="A774" s="91">
        <f t="shared" si="23"/>
        <v>1</v>
      </c>
      <c r="B774" s="79" t="s">
        <v>2465</v>
      </c>
      <c r="C774" s="79" t="s">
        <v>2465</v>
      </c>
      <c r="D774" s="79" t="s">
        <v>2464</v>
      </c>
      <c r="E774" s="55" t="s">
        <v>3187</v>
      </c>
      <c r="F774" s="79" t="s">
        <v>2464</v>
      </c>
      <c r="G774" s="79" t="s">
        <v>958</v>
      </c>
      <c r="H774" s="79" t="s">
        <v>2759</v>
      </c>
      <c r="I774" s="79" t="s">
        <v>2760</v>
      </c>
      <c r="J774" s="79" t="s">
        <v>843</v>
      </c>
      <c r="K774" s="79" t="s">
        <v>707</v>
      </c>
      <c r="L774" s="79" t="s">
        <v>955</v>
      </c>
      <c r="Y774" s="79" t="s">
        <v>2550</v>
      </c>
    </row>
    <row r="775" spans="1:25" ht="12.75" customHeight="1" x14ac:dyDescent="0.2">
      <c r="A775" s="91">
        <f t="shared" si="23"/>
        <v>1</v>
      </c>
      <c r="B775" s="79" t="s">
        <v>2469</v>
      </c>
      <c r="C775" s="79" t="s">
        <v>2469</v>
      </c>
      <c r="D775" s="79" t="s">
        <v>2468</v>
      </c>
      <c r="E775" s="55" t="s">
        <v>3228</v>
      </c>
      <c r="F775" s="79" t="s">
        <v>2468</v>
      </c>
      <c r="G775" s="79" t="s">
        <v>969</v>
      </c>
      <c r="H775" s="79" t="s">
        <v>2759</v>
      </c>
      <c r="I775" s="79" t="s">
        <v>2760</v>
      </c>
      <c r="J775" s="79" t="s">
        <v>843</v>
      </c>
      <c r="K775" s="79" t="s">
        <v>707</v>
      </c>
      <c r="L775" s="79" t="s">
        <v>970</v>
      </c>
      <c r="Y775" s="79" t="s">
        <v>2344</v>
      </c>
    </row>
    <row r="776" spans="1:25" ht="12.75" customHeight="1" x14ac:dyDescent="0.2">
      <c r="A776" s="91">
        <f t="shared" si="23"/>
        <v>1</v>
      </c>
      <c r="B776" s="79" t="s">
        <v>2467</v>
      </c>
      <c r="C776" s="79" t="s">
        <v>2467</v>
      </c>
      <c r="D776" s="79" t="s">
        <v>2466</v>
      </c>
      <c r="E776" s="55" t="s">
        <v>3220</v>
      </c>
      <c r="F776" s="79" t="s">
        <v>2466</v>
      </c>
      <c r="G776" s="79" t="s">
        <v>964</v>
      </c>
      <c r="H776" s="79" t="s">
        <v>2759</v>
      </c>
      <c r="I776" s="79" t="s">
        <v>2761</v>
      </c>
      <c r="J776" s="79" t="s">
        <v>965</v>
      </c>
      <c r="K776" s="79" t="s">
        <v>707</v>
      </c>
      <c r="L776" s="79" t="s">
        <v>966</v>
      </c>
      <c r="Y776" s="79" t="s">
        <v>1399</v>
      </c>
    </row>
    <row r="777" spans="1:25" ht="12.75" customHeight="1" x14ac:dyDescent="0.2">
      <c r="A777" s="91">
        <f t="shared" si="23"/>
        <v>1</v>
      </c>
      <c r="B777" s="79" t="s">
        <v>2471</v>
      </c>
      <c r="C777" s="79" t="s">
        <v>2471</v>
      </c>
      <c r="D777" s="79" t="s">
        <v>2470</v>
      </c>
      <c r="E777" s="55" t="s">
        <v>3218</v>
      </c>
      <c r="F777" s="79" t="s">
        <v>2470</v>
      </c>
      <c r="G777" s="79" t="s">
        <v>2472</v>
      </c>
      <c r="H777" s="79" t="s">
        <v>2762</v>
      </c>
      <c r="I777" s="79" t="s">
        <v>2790</v>
      </c>
      <c r="J777" s="79" t="s">
        <v>2473</v>
      </c>
      <c r="K777" s="79" t="s">
        <v>707</v>
      </c>
      <c r="L777" s="79" t="s">
        <v>2474</v>
      </c>
      <c r="Y777" s="79" t="s">
        <v>1390</v>
      </c>
    </row>
    <row r="778" spans="1:25" ht="12.75" customHeight="1" x14ac:dyDescent="0.2">
      <c r="A778" s="91">
        <f t="shared" si="23"/>
        <v>1</v>
      </c>
      <c r="B778" s="79" t="s">
        <v>2476</v>
      </c>
      <c r="C778" s="79" t="s">
        <v>2476</v>
      </c>
      <c r="D778" s="79" t="s">
        <v>2475</v>
      </c>
      <c r="E778" s="55" t="s">
        <v>3216</v>
      </c>
      <c r="F778" s="79" t="s">
        <v>2475</v>
      </c>
      <c r="G778" s="79" t="s">
        <v>978</v>
      </c>
      <c r="H778" s="79" t="s">
        <v>2762</v>
      </c>
      <c r="I778" s="79" t="s">
        <v>2790</v>
      </c>
      <c r="J778" s="79" t="s">
        <v>979</v>
      </c>
      <c r="K778" s="79" t="s">
        <v>707</v>
      </c>
      <c r="L778" s="79" t="s">
        <v>980</v>
      </c>
      <c r="Y778" s="79" t="s">
        <v>2510</v>
      </c>
    </row>
    <row r="779" spans="1:25" ht="12.75" customHeight="1" x14ac:dyDescent="0.2">
      <c r="A779" s="91">
        <f t="shared" si="23"/>
        <v>1</v>
      </c>
      <c r="B779" s="79" t="s">
        <v>1943</v>
      </c>
      <c r="C779" s="79" t="s">
        <v>1943</v>
      </c>
      <c r="D779" s="79" t="s">
        <v>1942</v>
      </c>
      <c r="E779" s="55" t="s">
        <v>3209</v>
      </c>
      <c r="F779" s="79" t="s">
        <v>1942</v>
      </c>
      <c r="G779" s="79" t="s">
        <v>1908</v>
      </c>
      <c r="H779" s="79" t="s">
        <v>2782</v>
      </c>
      <c r="I779" s="79" t="s">
        <v>2764</v>
      </c>
      <c r="J779" s="79" t="s">
        <v>1909</v>
      </c>
      <c r="K779" s="79" t="s">
        <v>1489</v>
      </c>
      <c r="L779" s="79" t="s">
        <v>1910</v>
      </c>
      <c r="Y779" s="79" t="s">
        <v>2518</v>
      </c>
    </row>
    <row r="780" spans="1:25" ht="12.75" customHeight="1" x14ac:dyDescent="0.2">
      <c r="A780" s="91">
        <f t="shared" si="23"/>
        <v>1</v>
      </c>
      <c r="B780" s="79" t="s">
        <v>2539</v>
      </c>
      <c r="C780" s="79" t="s">
        <v>2539</v>
      </c>
      <c r="D780" s="79" t="s">
        <v>2538</v>
      </c>
      <c r="E780" s="55" t="s">
        <v>3216</v>
      </c>
      <c r="F780" s="79" t="s">
        <v>2538</v>
      </c>
      <c r="G780" s="79" t="s">
        <v>978</v>
      </c>
      <c r="H780" s="79" t="s">
        <v>2762</v>
      </c>
      <c r="I780" s="79" t="s">
        <v>2790</v>
      </c>
      <c r="J780" s="79" t="s">
        <v>979</v>
      </c>
      <c r="K780" s="79" t="s">
        <v>707</v>
      </c>
      <c r="L780" s="79" t="s">
        <v>980</v>
      </c>
      <c r="Y780" s="79" t="s">
        <v>2514</v>
      </c>
    </row>
    <row r="781" spans="1:25" ht="12.75" customHeight="1" x14ac:dyDescent="0.2">
      <c r="A781" s="91">
        <f t="shared" si="23"/>
        <v>1</v>
      </c>
      <c r="B781" s="79" t="s">
        <v>1328</v>
      </c>
      <c r="C781" s="79" t="s">
        <v>1328</v>
      </c>
      <c r="D781" s="79" t="s">
        <v>1327</v>
      </c>
      <c r="E781" s="55" t="s">
        <v>3229</v>
      </c>
      <c r="F781" s="79" t="s">
        <v>1327</v>
      </c>
      <c r="G781" s="79" t="s">
        <v>1329</v>
      </c>
      <c r="H781" s="79" t="s">
        <v>2762</v>
      </c>
      <c r="I781" s="79" t="s">
        <v>2766</v>
      </c>
      <c r="J781" s="79" t="s">
        <v>1330</v>
      </c>
      <c r="K781" s="79" t="s">
        <v>707</v>
      </c>
      <c r="L781" s="79" t="s">
        <v>1331</v>
      </c>
      <c r="Y781" s="79" t="s">
        <v>2512</v>
      </c>
    </row>
    <row r="782" spans="1:25" ht="12.75" customHeight="1" x14ac:dyDescent="0.2">
      <c r="A782" s="91">
        <f t="shared" si="23"/>
        <v>1</v>
      </c>
      <c r="B782" s="79" t="s">
        <v>1279</v>
      </c>
      <c r="C782" s="79" t="s">
        <v>1279</v>
      </c>
      <c r="D782" s="79" t="s">
        <v>1278</v>
      </c>
      <c r="E782" s="55" t="s">
        <v>3230</v>
      </c>
      <c r="F782" s="79" t="s">
        <v>1278</v>
      </c>
      <c r="G782" s="79" t="s">
        <v>1280</v>
      </c>
      <c r="H782" s="79" t="s">
        <v>2762</v>
      </c>
      <c r="I782" s="79" t="s">
        <v>2766</v>
      </c>
      <c r="J782" s="79" t="s">
        <v>775</v>
      </c>
      <c r="K782" s="79" t="s">
        <v>707</v>
      </c>
      <c r="L782" s="79" t="s">
        <v>1281</v>
      </c>
      <c r="Y782" s="79" t="s">
        <v>2520</v>
      </c>
    </row>
    <row r="783" spans="1:25" ht="12.75" customHeight="1" x14ac:dyDescent="0.2">
      <c r="A783" s="91">
        <f t="shared" si="23"/>
        <v>1</v>
      </c>
      <c r="B783" s="79" t="s">
        <v>1279</v>
      </c>
      <c r="C783" s="79" t="s">
        <v>1279</v>
      </c>
      <c r="D783" s="79" t="s">
        <v>2664</v>
      </c>
      <c r="E783" s="55" t="s">
        <v>3230</v>
      </c>
      <c r="F783" s="79" t="s">
        <v>2664</v>
      </c>
      <c r="G783" s="79" t="s">
        <v>1280</v>
      </c>
      <c r="H783" s="79" t="s">
        <v>2762</v>
      </c>
      <c r="I783" s="79" t="s">
        <v>2766</v>
      </c>
      <c r="J783" s="79" t="s">
        <v>775</v>
      </c>
      <c r="K783" s="79" t="s">
        <v>707</v>
      </c>
      <c r="L783" s="79" t="s">
        <v>1281</v>
      </c>
      <c r="Y783" s="79" t="s">
        <v>2516</v>
      </c>
    </row>
    <row r="784" spans="1:25" ht="12.75" customHeight="1" x14ac:dyDescent="0.2">
      <c r="A784" s="91">
        <f t="shared" si="23"/>
        <v>1</v>
      </c>
      <c r="B784" s="79" t="s">
        <v>2219</v>
      </c>
      <c r="C784" s="79" t="s">
        <v>2219</v>
      </c>
      <c r="D784" s="79" t="s">
        <v>2218</v>
      </c>
      <c r="E784" s="55" t="s">
        <v>3231</v>
      </c>
      <c r="F784" s="79" t="s">
        <v>2218</v>
      </c>
      <c r="G784" s="79" t="s">
        <v>2220</v>
      </c>
      <c r="H784" s="79" t="s">
        <v>2782</v>
      </c>
      <c r="I784" s="79" t="s">
        <v>2792</v>
      </c>
      <c r="J784" s="79" t="s">
        <v>2221</v>
      </c>
      <c r="K784" s="79" t="s">
        <v>707</v>
      </c>
      <c r="L784" s="79" t="s">
        <v>2222</v>
      </c>
      <c r="Y784" s="79" t="s">
        <v>2508</v>
      </c>
    </row>
    <row r="785" spans="1:25" ht="12.75" customHeight="1" x14ac:dyDescent="0.2">
      <c r="A785" s="91">
        <f t="shared" si="23"/>
        <v>1</v>
      </c>
      <c r="B785" s="79" t="s">
        <v>2567</v>
      </c>
      <c r="C785" s="79" t="s">
        <v>2567</v>
      </c>
      <c r="D785" s="79" t="s">
        <v>2566</v>
      </c>
      <c r="E785" s="55" t="s">
        <v>3232</v>
      </c>
      <c r="F785" s="79" t="s">
        <v>2566</v>
      </c>
      <c r="G785" s="79" t="s">
        <v>2568</v>
      </c>
      <c r="H785" s="79" t="s">
        <v>2762</v>
      </c>
      <c r="I785" s="79" t="s">
        <v>2764</v>
      </c>
      <c r="J785" s="79" t="s">
        <v>2569</v>
      </c>
      <c r="K785" s="79" t="s">
        <v>898</v>
      </c>
      <c r="L785" s="79" t="s">
        <v>2570</v>
      </c>
      <c r="Y785" s="79" t="s">
        <v>947</v>
      </c>
    </row>
    <row r="786" spans="1:25" ht="12.75" customHeight="1" x14ac:dyDescent="0.2">
      <c r="A786" s="91">
        <f t="shared" si="23"/>
        <v>1</v>
      </c>
      <c r="B786" s="79" t="s">
        <v>1348</v>
      </c>
      <c r="C786" s="79" t="s">
        <v>1348</v>
      </c>
      <c r="D786" s="79" t="s">
        <v>1347</v>
      </c>
      <c r="E786" s="55" t="s">
        <v>3233</v>
      </c>
      <c r="F786" s="79" t="s">
        <v>1347</v>
      </c>
      <c r="G786" s="79" t="s">
        <v>1349</v>
      </c>
      <c r="H786" s="79" t="s">
        <v>2762</v>
      </c>
      <c r="I786" s="79" t="s">
        <v>2769</v>
      </c>
      <c r="J786" s="79" t="s">
        <v>1350</v>
      </c>
      <c r="K786" s="79" t="s">
        <v>707</v>
      </c>
      <c r="L786" s="79" t="s">
        <v>1351</v>
      </c>
      <c r="Y786" s="79" t="s">
        <v>959</v>
      </c>
    </row>
    <row r="787" spans="1:25" ht="12.75" customHeight="1" x14ac:dyDescent="0.2">
      <c r="A787" s="91">
        <f t="shared" si="23"/>
        <v>1</v>
      </c>
      <c r="B787" s="79" t="s">
        <v>1599</v>
      </c>
      <c r="C787" s="79" t="s">
        <v>1599</v>
      </c>
      <c r="D787" s="79" t="s">
        <v>1598</v>
      </c>
      <c r="E787" s="55" t="s">
        <v>3234</v>
      </c>
      <c r="F787" s="79" t="s">
        <v>1598</v>
      </c>
      <c r="G787" s="79" t="s">
        <v>1600</v>
      </c>
      <c r="H787" s="79" t="s">
        <v>2786</v>
      </c>
      <c r="I787" s="79" t="s">
        <v>2793</v>
      </c>
      <c r="J787" s="79" t="s">
        <v>1574</v>
      </c>
      <c r="K787" s="79" t="s">
        <v>707</v>
      </c>
      <c r="L787" s="79" t="s">
        <v>1575</v>
      </c>
      <c r="Y787" s="79" t="s">
        <v>956</v>
      </c>
    </row>
    <row r="788" spans="1:25" ht="12.75" customHeight="1" x14ac:dyDescent="0.2">
      <c r="A788" s="91">
        <f t="shared" si="23"/>
        <v>1</v>
      </c>
      <c r="B788" s="79" t="s">
        <v>2546</v>
      </c>
      <c r="C788" s="79" t="s">
        <v>2546</v>
      </c>
      <c r="D788" s="79" t="s">
        <v>2545</v>
      </c>
      <c r="E788" s="55" t="s">
        <v>3235</v>
      </c>
      <c r="F788" s="79" t="s">
        <v>2545</v>
      </c>
      <c r="G788" s="79" t="s">
        <v>1411</v>
      </c>
      <c r="H788" s="79" t="s">
        <v>2762</v>
      </c>
      <c r="I788" s="79" t="s">
        <v>2769</v>
      </c>
      <c r="J788" s="79" t="s">
        <v>1323</v>
      </c>
      <c r="K788" s="79" t="s">
        <v>707</v>
      </c>
      <c r="L788" s="79" t="s">
        <v>1324</v>
      </c>
      <c r="Y788" s="79" t="s">
        <v>967</v>
      </c>
    </row>
    <row r="789" spans="1:25" ht="12.75" customHeight="1" x14ac:dyDescent="0.2">
      <c r="A789" s="91">
        <f t="shared" si="23"/>
        <v>1</v>
      </c>
      <c r="B789" s="79" t="s">
        <v>2548</v>
      </c>
      <c r="C789" s="79" t="s">
        <v>2548</v>
      </c>
      <c r="D789" s="79" t="s">
        <v>2547</v>
      </c>
      <c r="E789" s="55" t="s">
        <v>3187</v>
      </c>
      <c r="F789" s="79" t="s">
        <v>2547</v>
      </c>
      <c r="G789" s="79" t="s">
        <v>3158</v>
      </c>
      <c r="H789" s="79" t="s">
        <v>2759</v>
      </c>
      <c r="I789" s="79" t="s">
        <v>2760</v>
      </c>
      <c r="J789" s="79" t="s">
        <v>843</v>
      </c>
      <c r="K789" s="79" t="s">
        <v>707</v>
      </c>
      <c r="L789" s="79" t="s">
        <v>955</v>
      </c>
      <c r="Y789" s="79" t="s">
        <v>962</v>
      </c>
    </row>
    <row r="790" spans="1:25" ht="12.75" customHeight="1" x14ac:dyDescent="0.2">
      <c r="A790" s="91">
        <f t="shared" si="23"/>
        <v>1</v>
      </c>
      <c r="B790" s="79" t="s">
        <v>1298</v>
      </c>
      <c r="C790" s="79" t="s">
        <v>1298</v>
      </c>
      <c r="D790" s="79" t="s">
        <v>1297</v>
      </c>
      <c r="E790" s="55" t="s">
        <v>3236</v>
      </c>
      <c r="F790" s="79" t="s">
        <v>1297</v>
      </c>
      <c r="G790" s="79" t="s">
        <v>1299</v>
      </c>
      <c r="H790" s="79" t="s">
        <v>2762</v>
      </c>
      <c r="I790" s="79" t="s">
        <v>2774</v>
      </c>
      <c r="J790" s="79" t="s">
        <v>822</v>
      </c>
      <c r="K790" s="79" t="s">
        <v>707</v>
      </c>
      <c r="L790" s="79" t="s">
        <v>823</v>
      </c>
      <c r="Y790" s="79" t="s">
        <v>984</v>
      </c>
    </row>
    <row r="791" spans="1:25" ht="12.75" customHeight="1" x14ac:dyDescent="0.2">
      <c r="A791" s="91">
        <f t="shared" si="23"/>
        <v>1</v>
      </c>
      <c r="B791" s="79" t="s">
        <v>1557</v>
      </c>
      <c r="C791" s="79" t="s">
        <v>1557</v>
      </c>
      <c r="D791" s="79" t="s">
        <v>1556</v>
      </c>
      <c r="E791" s="55" t="s">
        <v>3237</v>
      </c>
      <c r="F791" s="79" t="s">
        <v>1556</v>
      </c>
      <c r="G791" s="79" t="s">
        <v>1558</v>
      </c>
      <c r="H791" s="79" t="s">
        <v>2786</v>
      </c>
      <c r="I791" s="79" t="s">
        <v>2795</v>
      </c>
      <c r="J791" s="79" t="s">
        <v>1559</v>
      </c>
      <c r="K791" s="79" t="s">
        <v>707</v>
      </c>
      <c r="L791" s="79" t="s">
        <v>1560</v>
      </c>
      <c r="Y791" s="79" t="s">
        <v>971</v>
      </c>
    </row>
    <row r="792" spans="1:25" ht="12.75" customHeight="1" x14ac:dyDescent="0.2">
      <c r="A792" s="91">
        <f t="shared" si="23"/>
        <v>1</v>
      </c>
      <c r="B792" s="79" t="s">
        <v>1499</v>
      </c>
      <c r="C792" s="79" t="s">
        <v>1499</v>
      </c>
      <c r="D792" s="79" t="s">
        <v>1498</v>
      </c>
      <c r="E792" s="55" t="s">
        <v>3238</v>
      </c>
      <c r="F792" s="79" t="s">
        <v>1498</v>
      </c>
      <c r="G792" s="79" t="s">
        <v>1500</v>
      </c>
      <c r="H792" s="79" t="s">
        <v>2762</v>
      </c>
      <c r="I792" s="79" t="s">
        <v>2774</v>
      </c>
      <c r="J792" s="79" t="s">
        <v>1501</v>
      </c>
      <c r="K792" s="79" t="s">
        <v>707</v>
      </c>
      <c r="L792" s="79" t="s">
        <v>1502</v>
      </c>
      <c r="Y792" s="79" t="s">
        <v>976</v>
      </c>
    </row>
    <row r="793" spans="1:25" ht="12.75" customHeight="1" x14ac:dyDescent="0.2">
      <c r="A793" s="91">
        <f t="shared" si="23"/>
        <v>1</v>
      </c>
      <c r="B793" s="79" t="s">
        <v>1495</v>
      </c>
      <c r="C793" s="79" t="s">
        <v>1495</v>
      </c>
      <c r="D793" s="79" t="s">
        <v>1494</v>
      </c>
      <c r="E793" s="55" t="s">
        <v>3239</v>
      </c>
      <c r="F793" s="79" t="s">
        <v>1494</v>
      </c>
      <c r="G793" s="79" t="s">
        <v>1496</v>
      </c>
      <c r="H793" s="79" t="s">
        <v>2762</v>
      </c>
      <c r="I793" s="79" t="s">
        <v>2764</v>
      </c>
      <c r="J793" s="79" t="s">
        <v>1497</v>
      </c>
      <c r="K793" s="79" t="s">
        <v>898</v>
      </c>
      <c r="L793" s="79" t="s">
        <v>1462</v>
      </c>
      <c r="Y793" s="79" t="s">
        <v>987</v>
      </c>
    </row>
    <row r="794" spans="1:25" ht="12.75" customHeight="1" x14ac:dyDescent="0.2">
      <c r="A794" s="91">
        <f t="shared" si="23"/>
        <v>1</v>
      </c>
      <c r="B794" s="79" t="s">
        <v>2500</v>
      </c>
      <c r="C794" s="79" t="s">
        <v>2500</v>
      </c>
      <c r="D794" s="79" t="s">
        <v>2499</v>
      </c>
      <c r="E794" s="55" t="s">
        <v>3228</v>
      </c>
      <c r="F794" s="79" t="s">
        <v>2499</v>
      </c>
      <c r="G794" s="79" t="s">
        <v>969</v>
      </c>
      <c r="H794" s="79" t="s">
        <v>2759</v>
      </c>
      <c r="I794" s="79" t="s">
        <v>2760</v>
      </c>
      <c r="J794" s="79" t="s">
        <v>843</v>
      </c>
      <c r="K794" s="79" t="s">
        <v>707</v>
      </c>
      <c r="L794" s="79" t="s">
        <v>970</v>
      </c>
      <c r="Y794" s="79" t="s">
        <v>981</v>
      </c>
    </row>
    <row r="795" spans="1:25" ht="12.75" customHeight="1" x14ac:dyDescent="0.2">
      <c r="A795" s="91">
        <f t="shared" si="23"/>
        <v>1</v>
      </c>
      <c r="B795" s="79" t="s">
        <v>2498</v>
      </c>
      <c r="C795" s="79" t="s">
        <v>2498</v>
      </c>
      <c r="D795" s="79" t="s">
        <v>2497</v>
      </c>
      <c r="E795" s="55" t="s">
        <v>3220</v>
      </c>
      <c r="F795" s="79" t="s">
        <v>2497</v>
      </c>
      <c r="G795" s="79" t="s">
        <v>964</v>
      </c>
      <c r="H795" s="79" t="s">
        <v>2759</v>
      </c>
      <c r="I795" s="79" t="s">
        <v>2761</v>
      </c>
      <c r="J795" s="79" t="s">
        <v>965</v>
      </c>
      <c r="K795" s="79" t="s">
        <v>707</v>
      </c>
      <c r="L795" s="79" t="s">
        <v>966</v>
      </c>
      <c r="Y795" s="79" t="s">
        <v>952</v>
      </c>
    </row>
    <row r="796" spans="1:25" ht="12.75" customHeight="1" x14ac:dyDescent="0.2">
      <c r="A796" s="91">
        <f t="shared" si="23"/>
        <v>1</v>
      </c>
      <c r="B796" s="79" t="s">
        <v>2496</v>
      </c>
      <c r="C796" s="79" t="s">
        <v>2496</v>
      </c>
      <c r="D796" s="79" t="s">
        <v>2495</v>
      </c>
      <c r="E796" s="55" t="s">
        <v>3187</v>
      </c>
      <c r="F796" s="79" t="s">
        <v>2495</v>
      </c>
      <c r="G796" s="79" t="s">
        <v>954</v>
      </c>
      <c r="H796" s="79" t="s">
        <v>2759</v>
      </c>
      <c r="I796" s="79" t="s">
        <v>2760</v>
      </c>
      <c r="J796" s="79" t="s">
        <v>843</v>
      </c>
      <c r="K796" s="79" t="s">
        <v>707</v>
      </c>
      <c r="L796" s="79" t="s">
        <v>955</v>
      </c>
      <c r="Y796" s="79" t="s">
        <v>709</v>
      </c>
    </row>
    <row r="797" spans="1:25" ht="12.75" customHeight="1" x14ac:dyDescent="0.2">
      <c r="A797" s="91">
        <f t="shared" si="23"/>
        <v>1</v>
      </c>
      <c r="B797" s="79" t="s">
        <v>1781</v>
      </c>
      <c r="C797" s="79" t="s">
        <v>1781</v>
      </c>
      <c r="D797" s="79" t="s">
        <v>1780</v>
      </c>
      <c r="E797" s="55" t="s">
        <v>3240</v>
      </c>
      <c r="F797" s="79" t="s">
        <v>1780</v>
      </c>
      <c r="G797" s="79" t="s">
        <v>1782</v>
      </c>
      <c r="H797" s="79" t="s">
        <v>2775</v>
      </c>
      <c r="I797" s="79" t="s">
        <v>2796</v>
      </c>
      <c r="J797" s="79" t="s">
        <v>1783</v>
      </c>
      <c r="K797" s="79" t="s">
        <v>707</v>
      </c>
      <c r="L797" s="79" t="s">
        <v>1784</v>
      </c>
      <c r="Y797" s="79" t="s">
        <v>2482</v>
      </c>
    </row>
    <row r="798" spans="1:25" ht="12.75" customHeight="1" x14ac:dyDescent="0.2">
      <c r="A798" s="91">
        <f t="shared" si="23"/>
        <v>1</v>
      </c>
      <c r="B798" s="79" t="s">
        <v>1874</v>
      </c>
      <c r="C798" s="79" t="s">
        <v>1874</v>
      </c>
      <c r="D798" s="79" t="s">
        <v>1873</v>
      </c>
      <c r="E798" s="55" t="s">
        <v>3241</v>
      </c>
      <c r="F798" s="79" t="s">
        <v>1873</v>
      </c>
      <c r="G798" s="79" t="s">
        <v>1875</v>
      </c>
      <c r="H798" s="79" t="s">
        <v>2770</v>
      </c>
      <c r="I798" s="79" t="s">
        <v>2777</v>
      </c>
      <c r="J798" s="79" t="s">
        <v>1788</v>
      </c>
      <c r="K798" s="79" t="s">
        <v>707</v>
      </c>
      <c r="L798" s="79" t="s">
        <v>1789</v>
      </c>
      <c r="Y798" s="79" t="s">
        <v>2493</v>
      </c>
    </row>
    <row r="799" spans="1:25" ht="12.75" customHeight="1" x14ac:dyDescent="0.2">
      <c r="A799" s="91">
        <f t="shared" si="23"/>
        <v>1</v>
      </c>
      <c r="B799" s="79" t="s">
        <v>1301</v>
      </c>
      <c r="C799" s="79" t="s">
        <v>1301</v>
      </c>
      <c r="D799" s="79" t="s">
        <v>1300</v>
      </c>
      <c r="E799" s="55" t="s">
        <v>3242</v>
      </c>
      <c r="F799" s="79" t="s">
        <v>1300</v>
      </c>
      <c r="G799" s="79" t="s">
        <v>1302</v>
      </c>
      <c r="H799" s="79" t="s">
        <v>2762</v>
      </c>
      <c r="I799" s="79" t="s">
        <v>2769</v>
      </c>
      <c r="J799" s="79" t="s">
        <v>1303</v>
      </c>
      <c r="K799" s="79" t="s">
        <v>707</v>
      </c>
      <c r="L799" s="79" t="s">
        <v>1304</v>
      </c>
      <c r="Y799" s="79" t="s">
        <v>2491</v>
      </c>
    </row>
    <row r="800" spans="1:25" ht="12.75" customHeight="1" x14ac:dyDescent="0.2">
      <c r="A800" s="91">
        <f t="shared" si="23"/>
        <v>1</v>
      </c>
      <c r="B800" s="79" t="s">
        <v>1410</v>
      </c>
      <c r="C800" s="79" t="s">
        <v>1410</v>
      </c>
      <c r="D800" s="79" t="s">
        <v>1409</v>
      </c>
      <c r="E800" s="55" t="s">
        <v>3235</v>
      </c>
      <c r="F800" s="79" t="s">
        <v>1409</v>
      </c>
      <c r="G800" s="79" t="s">
        <v>1411</v>
      </c>
      <c r="H800" s="79" t="s">
        <v>2762</v>
      </c>
      <c r="I800" s="79" t="s">
        <v>2769</v>
      </c>
      <c r="J800" s="79" t="s">
        <v>1323</v>
      </c>
      <c r="K800" s="79" t="s">
        <v>707</v>
      </c>
      <c r="L800" s="79" t="s">
        <v>1324</v>
      </c>
      <c r="Y800" s="79" t="s">
        <v>2489</v>
      </c>
    </row>
    <row r="801" spans="1:25" ht="12.75" customHeight="1" x14ac:dyDescent="0.2">
      <c r="A801" s="91">
        <f t="shared" si="23"/>
        <v>1</v>
      </c>
      <c r="B801" s="79" t="s">
        <v>3129</v>
      </c>
      <c r="C801" s="79" t="s">
        <v>3129</v>
      </c>
      <c r="D801" s="79" t="s">
        <v>3130</v>
      </c>
      <c r="E801" s="55" t="s">
        <v>3243</v>
      </c>
      <c r="F801" s="79" t="s">
        <v>3130</v>
      </c>
      <c r="G801" s="79" t="s">
        <v>3131</v>
      </c>
      <c r="H801" s="79" t="s">
        <v>2782</v>
      </c>
      <c r="I801" s="79" t="s">
        <v>2819</v>
      </c>
      <c r="J801" s="79" t="s">
        <v>3132</v>
      </c>
      <c r="K801" s="79" t="s">
        <v>707</v>
      </c>
      <c r="L801" s="79" t="s">
        <v>2193</v>
      </c>
      <c r="Y801" s="79" t="s">
        <v>2484</v>
      </c>
    </row>
    <row r="802" spans="1:25" ht="12.75" customHeight="1" x14ac:dyDescent="0.2">
      <c r="A802" s="91">
        <f t="shared" si="23"/>
        <v>1</v>
      </c>
      <c r="B802" s="79" t="s">
        <v>2190</v>
      </c>
      <c r="C802" s="79" t="s">
        <v>2190</v>
      </c>
      <c r="D802" s="79" t="s">
        <v>2189</v>
      </c>
      <c r="E802" s="55" t="s">
        <v>3244</v>
      </c>
      <c r="F802" s="79" t="s">
        <v>2189</v>
      </c>
      <c r="G802" s="79" t="s">
        <v>2191</v>
      </c>
      <c r="H802" s="79" t="s">
        <v>2780</v>
      </c>
      <c r="I802" s="79" t="s">
        <v>2797</v>
      </c>
      <c r="J802" s="79" t="s">
        <v>2192</v>
      </c>
      <c r="K802" s="79" t="s">
        <v>707</v>
      </c>
      <c r="L802" s="79" t="s">
        <v>2193</v>
      </c>
      <c r="Y802" s="79" t="s">
        <v>1315</v>
      </c>
    </row>
    <row r="803" spans="1:25" ht="12.75" customHeight="1" x14ac:dyDescent="0.2">
      <c r="A803" s="91">
        <f t="shared" si="23"/>
        <v>1</v>
      </c>
      <c r="B803" s="79" t="s">
        <v>1713</v>
      </c>
      <c r="C803" s="79" t="s">
        <v>1713</v>
      </c>
      <c r="D803" s="79" t="s">
        <v>1712</v>
      </c>
      <c r="E803" s="55" t="s">
        <v>3245</v>
      </c>
      <c r="F803" s="79" t="s">
        <v>1712</v>
      </c>
      <c r="G803" s="79" t="s">
        <v>1714</v>
      </c>
      <c r="H803" s="79" t="s">
        <v>2775</v>
      </c>
      <c r="I803" s="79" t="s">
        <v>2778</v>
      </c>
      <c r="J803" s="79" t="s">
        <v>1715</v>
      </c>
      <c r="K803" s="79" t="s">
        <v>707</v>
      </c>
      <c r="L803" s="79" t="s">
        <v>1716</v>
      </c>
      <c r="Y803" s="79" t="s">
        <v>1320</v>
      </c>
    </row>
    <row r="804" spans="1:25" ht="12.75" customHeight="1" x14ac:dyDescent="0.2">
      <c r="A804" s="91">
        <f t="shared" si="23"/>
        <v>1</v>
      </c>
      <c r="B804" s="79" t="s">
        <v>1228</v>
      </c>
      <c r="C804" s="79" t="s">
        <v>1228</v>
      </c>
      <c r="D804" s="79" t="s">
        <v>1227</v>
      </c>
      <c r="E804" s="55" t="s">
        <v>3246</v>
      </c>
      <c r="F804" s="79" t="s">
        <v>1227</v>
      </c>
      <c r="G804" s="79" t="s">
        <v>1229</v>
      </c>
      <c r="H804" s="79" t="s">
        <v>2767</v>
      </c>
      <c r="I804" s="79" t="s">
        <v>2798</v>
      </c>
      <c r="J804" s="79" t="s">
        <v>1230</v>
      </c>
      <c r="K804" s="79" t="s">
        <v>707</v>
      </c>
      <c r="L804" s="79" t="s">
        <v>1231</v>
      </c>
      <c r="Y804" s="79" t="s">
        <v>1318</v>
      </c>
    </row>
    <row r="805" spans="1:25" ht="12.75" customHeight="1" x14ac:dyDescent="0.2">
      <c r="A805" s="91">
        <f t="shared" si="23"/>
        <v>1</v>
      </c>
      <c r="B805" s="79" t="s">
        <v>1235</v>
      </c>
      <c r="C805" s="79" t="s">
        <v>1235</v>
      </c>
      <c r="D805" s="79" t="s">
        <v>1234</v>
      </c>
      <c r="E805" s="55" t="s">
        <v>3189</v>
      </c>
      <c r="F805" s="79" t="s">
        <v>1234</v>
      </c>
      <c r="G805" s="79" t="s">
        <v>816</v>
      </c>
      <c r="H805" s="79" t="s">
        <v>2762</v>
      </c>
      <c r="I805" s="79" t="s">
        <v>2766</v>
      </c>
      <c r="J805" s="79" t="s">
        <v>817</v>
      </c>
      <c r="K805" s="79" t="s">
        <v>707</v>
      </c>
      <c r="L805" s="79" t="s">
        <v>818</v>
      </c>
      <c r="Y805" s="79" t="s">
        <v>1325</v>
      </c>
    </row>
    <row r="806" spans="1:25" ht="12.75" customHeight="1" x14ac:dyDescent="0.2">
      <c r="A806" s="91">
        <f t="shared" si="23"/>
        <v>1</v>
      </c>
      <c r="B806" s="79" t="s">
        <v>1233</v>
      </c>
      <c r="C806" s="79" t="s">
        <v>1233</v>
      </c>
      <c r="D806" s="79" t="s">
        <v>1232</v>
      </c>
      <c r="E806" s="55" t="s">
        <v>3247</v>
      </c>
      <c r="F806" s="79" t="s">
        <v>1232</v>
      </c>
      <c r="G806" s="79" t="s">
        <v>997</v>
      </c>
      <c r="H806" s="79" t="s">
        <v>2762</v>
      </c>
      <c r="I806" s="79" t="s">
        <v>2763</v>
      </c>
      <c r="J806" s="79" t="s">
        <v>998</v>
      </c>
      <c r="K806" s="79" t="s">
        <v>707</v>
      </c>
      <c r="L806" s="79" t="s">
        <v>999</v>
      </c>
      <c r="Y806" s="79" t="s">
        <v>2114</v>
      </c>
    </row>
    <row r="807" spans="1:25" ht="12.75" customHeight="1" x14ac:dyDescent="0.2">
      <c r="A807" s="91">
        <f t="shared" si="23"/>
        <v>1</v>
      </c>
      <c r="B807" s="79" t="s">
        <v>2172</v>
      </c>
      <c r="C807" s="79" t="s">
        <v>2172</v>
      </c>
      <c r="D807" s="79" t="s">
        <v>2171</v>
      </c>
      <c r="E807" s="55" t="s">
        <v>3248</v>
      </c>
      <c r="F807" s="79" t="s">
        <v>2171</v>
      </c>
      <c r="G807" s="79" t="s">
        <v>2173</v>
      </c>
      <c r="H807" s="79" t="s">
        <v>2780</v>
      </c>
      <c r="I807" s="79" t="s">
        <v>2799</v>
      </c>
      <c r="J807" s="79" t="s">
        <v>2135</v>
      </c>
      <c r="K807" s="79" t="s">
        <v>707</v>
      </c>
      <c r="L807" s="79" t="s">
        <v>2136</v>
      </c>
      <c r="Y807" s="79" t="s">
        <v>2119</v>
      </c>
    </row>
    <row r="808" spans="1:25" ht="12.75" customHeight="1" x14ac:dyDescent="0.2">
      <c r="A808" s="91">
        <f t="shared" si="23"/>
        <v>1</v>
      </c>
      <c r="B808" s="79" t="s">
        <v>2062</v>
      </c>
      <c r="C808" s="79" t="s">
        <v>2062</v>
      </c>
      <c r="D808" s="79" t="s">
        <v>2061</v>
      </c>
      <c r="E808" s="55" t="s">
        <v>3249</v>
      </c>
      <c r="F808" s="79" t="s">
        <v>2061</v>
      </c>
      <c r="G808" s="79" t="s">
        <v>2063</v>
      </c>
      <c r="H808" s="79" t="s">
        <v>2770</v>
      </c>
      <c r="I808" s="79" t="s">
        <v>2789</v>
      </c>
      <c r="J808" s="79" t="s">
        <v>1144</v>
      </c>
      <c r="K808" s="79" t="s">
        <v>707</v>
      </c>
      <c r="L808" s="79" t="s">
        <v>2064</v>
      </c>
      <c r="Y808" s="79" t="s">
        <v>2124</v>
      </c>
    </row>
    <row r="809" spans="1:25" ht="12.75" customHeight="1" x14ac:dyDescent="0.2">
      <c r="A809" s="91">
        <f t="shared" si="23"/>
        <v>1</v>
      </c>
      <c r="B809" s="79" t="s">
        <v>2356</v>
      </c>
      <c r="C809" s="79" t="s">
        <v>2356</v>
      </c>
      <c r="D809" s="79" t="s">
        <v>2355</v>
      </c>
      <c r="E809" s="55" t="s">
        <v>3250</v>
      </c>
      <c r="F809" s="79" t="s">
        <v>2355</v>
      </c>
      <c r="G809" s="79" t="s">
        <v>2357</v>
      </c>
      <c r="H809" s="79" t="s">
        <v>2791</v>
      </c>
      <c r="I809" s="79" t="s">
        <v>2800</v>
      </c>
      <c r="J809" s="79" t="s">
        <v>2358</v>
      </c>
      <c r="K809" s="79" t="s">
        <v>707</v>
      </c>
      <c r="L809" s="79" t="s">
        <v>2359</v>
      </c>
      <c r="Y809" s="79" t="s">
        <v>2129</v>
      </c>
    </row>
    <row r="810" spans="1:25" ht="12.75" customHeight="1" x14ac:dyDescent="0.2">
      <c r="A810" s="91">
        <f t="shared" si="23"/>
        <v>1</v>
      </c>
      <c r="B810" s="79" t="s">
        <v>1761</v>
      </c>
      <c r="C810" s="79" t="s">
        <v>1761</v>
      </c>
      <c r="D810" s="79" t="s">
        <v>1760</v>
      </c>
      <c r="E810" s="55" t="s">
        <v>3251</v>
      </c>
      <c r="F810" s="79" t="s">
        <v>1760</v>
      </c>
      <c r="G810" s="79" t="s">
        <v>1762</v>
      </c>
      <c r="H810" s="79" t="s">
        <v>2775</v>
      </c>
      <c r="I810" s="79" t="s">
        <v>2801</v>
      </c>
      <c r="J810" s="79" t="s">
        <v>1763</v>
      </c>
      <c r="K810" s="79" t="s">
        <v>707</v>
      </c>
      <c r="L810" s="79" t="s">
        <v>1764</v>
      </c>
      <c r="Y810" s="79" t="s">
        <v>1120</v>
      </c>
    </row>
    <row r="811" spans="1:25" ht="12.75" customHeight="1" x14ac:dyDescent="0.2">
      <c r="A811" s="91">
        <f t="shared" si="23"/>
        <v>1</v>
      </c>
      <c r="B811" s="79" t="s">
        <v>1147</v>
      </c>
      <c r="C811" s="79" t="s">
        <v>1147</v>
      </c>
      <c r="D811" s="79" t="s">
        <v>1146</v>
      </c>
      <c r="E811" s="55" t="s">
        <v>3252</v>
      </c>
      <c r="F811" s="79" t="s">
        <v>1146</v>
      </c>
      <c r="G811" s="79" t="s">
        <v>1148</v>
      </c>
      <c r="H811" s="79" t="s">
        <v>2772</v>
      </c>
      <c r="I811" s="79" t="s">
        <v>2802</v>
      </c>
      <c r="J811" s="79" t="s">
        <v>1149</v>
      </c>
      <c r="K811" s="79" t="s">
        <v>707</v>
      </c>
      <c r="L811" s="79" t="s">
        <v>1150</v>
      </c>
      <c r="Y811" s="79" t="s">
        <v>1040</v>
      </c>
    </row>
    <row r="812" spans="1:25" ht="12.75" customHeight="1" x14ac:dyDescent="0.2">
      <c r="A812" s="91">
        <f t="shared" si="23"/>
        <v>1</v>
      </c>
      <c r="B812" s="79" t="s">
        <v>1147</v>
      </c>
      <c r="C812" s="79" t="s">
        <v>1147</v>
      </c>
      <c r="D812" s="79" t="s">
        <v>2596</v>
      </c>
      <c r="E812" s="55" t="s">
        <v>3252</v>
      </c>
      <c r="F812" s="79" t="s">
        <v>2596</v>
      </c>
      <c r="G812" s="79" t="s">
        <v>1148</v>
      </c>
      <c r="H812" s="79" t="s">
        <v>2772</v>
      </c>
      <c r="I812" s="79" t="s">
        <v>2802</v>
      </c>
      <c r="J812" s="79" t="s">
        <v>1149</v>
      </c>
      <c r="K812" s="79" t="s">
        <v>707</v>
      </c>
      <c r="L812" s="79" t="s">
        <v>1150</v>
      </c>
      <c r="Y812" s="79" t="s">
        <v>2019</v>
      </c>
    </row>
    <row r="813" spans="1:25" ht="12.75" customHeight="1" x14ac:dyDescent="0.2">
      <c r="A813" s="91">
        <f t="shared" si="23"/>
        <v>1</v>
      </c>
      <c r="B813" s="79" t="s">
        <v>1067</v>
      </c>
      <c r="C813" s="79" t="s">
        <v>1067</v>
      </c>
      <c r="D813" s="79" t="s">
        <v>1066</v>
      </c>
      <c r="E813" s="55" t="s">
        <v>3253</v>
      </c>
      <c r="F813" s="79" t="s">
        <v>1066</v>
      </c>
      <c r="G813" s="79" t="s">
        <v>1068</v>
      </c>
      <c r="H813" s="79" t="s">
        <v>2772</v>
      </c>
      <c r="I813" s="79" t="s">
        <v>2803</v>
      </c>
      <c r="J813" s="79" t="s">
        <v>1069</v>
      </c>
      <c r="K813" s="79" t="s">
        <v>707</v>
      </c>
      <c r="L813" s="79" t="s">
        <v>1070</v>
      </c>
      <c r="Y813" s="79" t="s">
        <v>2022</v>
      </c>
    </row>
    <row r="814" spans="1:25" ht="12.75" customHeight="1" x14ac:dyDescent="0.2">
      <c r="A814" s="91">
        <f t="shared" si="23"/>
        <v>1</v>
      </c>
      <c r="B814" s="79" t="s">
        <v>3069</v>
      </c>
      <c r="C814" s="79" t="s">
        <v>3069</v>
      </c>
      <c r="D814" s="79" t="s">
        <v>3070</v>
      </c>
      <c r="E814" s="55" t="s">
        <v>3254</v>
      </c>
      <c r="F814" s="79" t="s">
        <v>3070</v>
      </c>
      <c r="G814" s="79" t="s">
        <v>3071</v>
      </c>
      <c r="H814" s="79" t="s">
        <v>2772</v>
      </c>
      <c r="I814" s="79" t="s">
        <v>2788</v>
      </c>
      <c r="J814" s="79" t="s">
        <v>1033</v>
      </c>
      <c r="K814" s="79" t="s">
        <v>707</v>
      </c>
      <c r="L814" s="79" t="s">
        <v>1034</v>
      </c>
      <c r="Y814" s="79" t="s">
        <v>2161</v>
      </c>
    </row>
    <row r="815" spans="1:25" ht="12.75" customHeight="1" x14ac:dyDescent="0.2">
      <c r="A815" s="91">
        <f t="shared" si="23"/>
        <v>1</v>
      </c>
      <c r="B815" s="79" t="s">
        <v>704</v>
      </c>
      <c r="C815" s="79" t="s">
        <v>704</v>
      </c>
      <c r="D815" s="79" t="s">
        <v>703</v>
      </c>
      <c r="E815" s="55" t="s">
        <v>3255</v>
      </c>
      <c r="F815" s="79" t="s">
        <v>703</v>
      </c>
      <c r="G815" s="79" t="s">
        <v>705</v>
      </c>
      <c r="H815" s="79" t="s">
        <v>2804</v>
      </c>
      <c r="I815" s="79" t="s">
        <v>2805</v>
      </c>
      <c r="J815" s="79" t="s">
        <v>706</v>
      </c>
      <c r="K815" s="79" t="s">
        <v>707</v>
      </c>
      <c r="L815" s="79" t="s">
        <v>708</v>
      </c>
      <c r="Y815" s="79" t="s">
        <v>2137</v>
      </c>
    </row>
    <row r="816" spans="1:25" ht="12.75" customHeight="1" x14ac:dyDescent="0.2">
      <c r="A816" s="91">
        <f t="shared" si="23"/>
        <v>1</v>
      </c>
      <c r="B816" s="79" t="s">
        <v>1096</v>
      </c>
      <c r="C816" s="79" t="s">
        <v>1096</v>
      </c>
      <c r="D816" s="79" t="s">
        <v>1095</v>
      </c>
      <c r="E816" s="55" t="s">
        <v>3256</v>
      </c>
      <c r="F816" s="79" t="s">
        <v>1095</v>
      </c>
      <c r="G816" s="79" t="s">
        <v>1097</v>
      </c>
      <c r="H816" s="79" t="s">
        <v>2772</v>
      </c>
      <c r="I816" s="79" t="s">
        <v>2764</v>
      </c>
      <c r="J816" s="79" t="s">
        <v>1098</v>
      </c>
      <c r="K816" s="79" t="s">
        <v>1075</v>
      </c>
      <c r="L816" s="79" t="s">
        <v>1099</v>
      </c>
      <c r="Y816" s="79" t="s">
        <v>2142</v>
      </c>
    </row>
    <row r="817" spans="1:25" ht="12.75" customHeight="1" x14ac:dyDescent="0.2">
      <c r="A817" s="91">
        <f t="shared" si="23"/>
        <v>1</v>
      </c>
      <c r="B817" s="79" t="s">
        <v>1036</v>
      </c>
      <c r="C817" s="79" t="s">
        <v>1036</v>
      </c>
      <c r="D817" s="79" t="s">
        <v>1035</v>
      </c>
      <c r="E817" s="55" t="s">
        <v>3257</v>
      </c>
      <c r="F817" s="79" t="s">
        <v>1035</v>
      </c>
      <c r="G817" s="79" t="s">
        <v>1037</v>
      </c>
      <c r="H817" s="79" t="s">
        <v>2772</v>
      </c>
      <c r="I817" s="79" t="s">
        <v>2806</v>
      </c>
      <c r="J817" s="79" t="s">
        <v>1038</v>
      </c>
      <c r="K817" s="79" t="s">
        <v>707</v>
      </c>
      <c r="L817" s="79" t="s">
        <v>1039</v>
      </c>
      <c r="Y817" s="79" t="s">
        <v>2621</v>
      </c>
    </row>
    <row r="818" spans="1:25" ht="12.75" customHeight="1" x14ac:dyDescent="0.2">
      <c r="A818" s="91">
        <f t="shared" si="23"/>
        <v>1</v>
      </c>
      <c r="B818" s="79" t="s">
        <v>1036</v>
      </c>
      <c r="C818" s="79" t="s">
        <v>1036</v>
      </c>
      <c r="D818" s="79" t="s">
        <v>2587</v>
      </c>
      <c r="E818" s="55" t="s">
        <v>3257</v>
      </c>
      <c r="F818" s="79" t="s">
        <v>2587</v>
      </c>
      <c r="G818" s="79" t="s">
        <v>1037</v>
      </c>
      <c r="H818" s="79" t="s">
        <v>2772</v>
      </c>
      <c r="I818" s="79" t="s">
        <v>2806</v>
      </c>
      <c r="J818" s="79" t="s">
        <v>1038</v>
      </c>
      <c r="K818" s="79" t="s">
        <v>707</v>
      </c>
      <c r="L818" s="79" t="s">
        <v>1039</v>
      </c>
      <c r="Y818" s="79" t="s">
        <v>2639</v>
      </c>
    </row>
    <row r="819" spans="1:25" ht="12.75" customHeight="1" x14ac:dyDescent="0.2">
      <c r="A819" s="91">
        <f t="shared" si="23"/>
        <v>1</v>
      </c>
      <c r="B819" s="79" t="s">
        <v>2589</v>
      </c>
      <c r="C819" s="79" t="s">
        <v>2589</v>
      </c>
      <c r="D819" s="79" t="s">
        <v>2588</v>
      </c>
      <c r="E819" s="55" t="s">
        <v>3258</v>
      </c>
      <c r="F819" s="79" t="s">
        <v>2588</v>
      </c>
      <c r="G819" s="79" t="s">
        <v>1163</v>
      </c>
      <c r="H819" s="79" t="s">
        <v>2772</v>
      </c>
      <c r="I819" s="79" t="s">
        <v>2807</v>
      </c>
      <c r="J819" s="79" t="s">
        <v>1164</v>
      </c>
      <c r="K819" s="79" t="s">
        <v>707</v>
      </c>
      <c r="L819" s="79" t="s">
        <v>1165</v>
      </c>
      <c r="Y819" s="79" t="s">
        <v>2654</v>
      </c>
    </row>
    <row r="820" spans="1:25" ht="12.75" customHeight="1" x14ac:dyDescent="0.2">
      <c r="A820" s="91">
        <f t="shared" si="23"/>
        <v>1</v>
      </c>
      <c r="B820" s="79" t="s">
        <v>1157</v>
      </c>
      <c r="C820" s="79" t="s">
        <v>1157</v>
      </c>
      <c r="D820" s="79" t="s">
        <v>1156</v>
      </c>
      <c r="E820" s="55" t="s">
        <v>3259</v>
      </c>
      <c r="F820" s="79" t="s">
        <v>1156</v>
      </c>
      <c r="G820" s="79" t="s">
        <v>1158</v>
      </c>
      <c r="H820" s="79" t="s">
        <v>2772</v>
      </c>
      <c r="I820" s="79" t="s">
        <v>2808</v>
      </c>
      <c r="J820" s="79" t="s">
        <v>1159</v>
      </c>
      <c r="K820" s="79" t="s">
        <v>1075</v>
      </c>
      <c r="L820" s="79" t="s">
        <v>1160</v>
      </c>
      <c r="Y820" s="79" t="s">
        <v>2632</v>
      </c>
    </row>
    <row r="821" spans="1:25" ht="12.75" customHeight="1" x14ac:dyDescent="0.2">
      <c r="A821" s="91">
        <f t="shared" si="23"/>
        <v>1</v>
      </c>
      <c r="B821" s="79" t="s">
        <v>1157</v>
      </c>
      <c r="C821" s="79" t="s">
        <v>1157</v>
      </c>
      <c r="D821" s="79" t="s">
        <v>2597</v>
      </c>
      <c r="E821" s="55" t="s">
        <v>3259</v>
      </c>
      <c r="F821" s="79" t="s">
        <v>2597</v>
      </c>
      <c r="G821" s="79" t="s">
        <v>1158</v>
      </c>
      <c r="H821" s="79" t="s">
        <v>2772</v>
      </c>
      <c r="I821" s="79" t="s">
        <v>2808</v>
      </c>
      <c r="J821" s="79" t="s">
        <v>1159</v>
      </c>
      <c r="K821" s="79" t="s">
        <v>1075</v>
      </c>
      <c r="L821" s="79" t="s">
        <v>1160</v>
      </c>
      <c r="Y821" s="79" t="s">
        <v>2626</v>
      </c>
    </row>
    <row r="822" spans="1:25" ht="12.75" customHeight="1" x14ac:dyDescent="0.2">
      <c r="A822" s="91">
        <f t="shared" si="23"/>
        <v>1</v>
      </c>
      <c r="B822" s="79" t="s">
        <v>1162</v>
      </c>
      <c r="C822" s="79" t="s">
        <v>1162</v>
      </c>
      <c r="D822" s="79" t="s">
        <v>1161</v>
      </c>
      <c r="E822" s="55" t="s">
        <v>3258</v>
      </c>
      <c r="F822" s="79" t="s">
        <v>1161</v>
      </c>
      <c r="G822" s="79" t="s">
        <v>1163</v>
      </c>
      <c r="H822" s="79" t="s">
        <v>2772</v>
      </c>
      <c r="I822" s="79" t="s">
        <v>2807</v>
      </c>
      <c r="J822" s="79" t="s">
        <v>1164</v>
      </c>
      <c r="K822" s="79" t="s">
        <v>707</v>
      </c>
      <c r="L822" s="79" t="s">
        <v>1165</v>
      </c>
      <c r="Y822" s="79" t="s">
        <v>2635</v>
      </c>
    </row>
    <row r="823" spans="1:25" ht="12.75" customHeight="1" x14ac:dyDescent="0.2">
      <c r="A823" s="91">
        <f t="shared" si="23"/>
        <v>1</v>
      </c>
      <c r="B823" s="79" t="s">
        <v>1162</v>
      </c>
      <c r="C823" s="79" t="s">
        <v>1162</v>
      </c>
      <c r="D823" s="79" t="s">
        <v>2598</v>
      </c>
      <c r="E823" s="55" t="s">
        <v>3258</v>
      </c>
      <c r="F823" s="79" t="s">
        <v>2598</v>
      </c>
      <c r="G823" s="79" t="s">
        <v>1163</v>
      </c>
      <c r="H823" s="79" t="s">
        <v>2772</v>
      </c>
      <c r="I823" s="79" t="s">
        <v>2807</v>
      </c>
      <c r="J823" s="79" t="s">
        <v>1164</v>
      </c>
      <c r="K823" s="79" t="s">
        <v>707</v>
      </c>
      <c r="L823" s="79" t="s">
        <v>1165</v>
      </c>
      <c r="Y823" s="79" t="s">
        <v>2630</v>
      </c>
    </row>
    <row r="824" spans="1:25" ht="12.75" customHeight="1" x14ac:dyDescent="0.2">
      <c r="A824" s="91">
        <f t="shared" si="23"/>
        <v>1</v>
      </c>
      <c r="B824" s="79" t="s">
        <v>1072</v>
      </c>
      <c r="C824" s="79" t="s">
        <v>1072</v>
      </c>
      <c r="D824" s="79" t="s">
        <v>1071</v>
      </c>
      <c r="E824" s="55" t="s">
        <v>3260</v>
      </c>
      <c r="F824" s="79" t="s">
        <v>1071</v>
      </c>
      <c r="G824" s="79" t="s">
        <v>1073</v>
      </c>
      <c r="H824" s="79" t="s">
        <v>2772</v>
      </c>
      <c r="I824" s="79" t="s">
        <v>2802</v>
      </c>
      <c r="J824" s="79" t="s">
        <v>1074</v>
      </c>
      <c r="K824" s="79" t="s">
        <v>1075</v>
      </c>
      <c r="L824" s="79" t="s">
        <v>1076</v>
      </c>
      <c r="Y824" s="79" t="s">
        <v>2628</v>
      </c>
    </row>
    <row r="825" spans="1:25" ht="12.75" customHeight="1" x14ac:dyDescent="0.2">
      <c r="A825" s="91">
        <f t="shared" si="23"/>
        <v>1</v>
      </c>
      <c r="B825" s="79" t="s">
        <v>1072</v>
      </c>
      <c r="C825" s="79" t="s">
        <v>1072</v>
      </c>
      <c r="D825" s="79" t="s">
        <v>2593</v>
      </c>
      <c r="E825" s="55" t="s">
        <v>3260</v>
      </c>
      <c r="F825" s="79" t="s">
        <v>2593</v>
      </c>
      <c r="G825" s="79" t="s">
        <v>1073</v>
      </c>
      <c r="H825" s="79" t="s">
        <v>2772</v>
      </c>
      <c r="I825" s="79" t="s">
        <v>2802</v>
      </c>
      <c r="J825" s="79" t="s">
        <v>1074</v>
      </c>
      <c r="K825" s="79" t="s">
        <v>1075</v>
      </c>
      <c r="L825" s="79" t="s">
        <v>1076</v>
      </c>
      <c r="Y825" s="79" t="s">
        <v>2645</v>
      </c>
    </row>
    <row r="826" spans="1:25" ht="12.75" customHeight="1" x14ac:dyDescent="0.2">
      <c r="A826" s="91">
        <f t="shared" si="23"/>
        <v>1</v>
      </c>
      <c r="B826" s="79" t="s">
        <v>1078</v>
      </c>
      <c r="C826" s="79" t="s">
        <v>1078</v>
      </c>
      <c r="D826" s="79" t="s">
        <v>1077</v>
      </c>
      <c r="E826" s="55" t="s">
        <v>3261</v>
      </c>
      <c r="F826" s="79" t="s">
        <v>1077</v>
      </c>
      <c r="G826" s="79" t="s">
        <v>1079</v>
      </c>
      <c r="H826" s="79" t="s">
        <v>2772</v>
      </c>
      <c r="I826" s="79" t="s">
        <v>2808</v>
      </c>
      <c r="J826" s="79" t="s">
        <v>1080</v>
      </c>
      <c r="K826" s="79" t="s">
        <v>1075</v>
      </c>
      <c r="L826" s="79" t="s">
        <v>1081</v>
      </c>
      <c r="Y826" s="79" t="s">
        <v>2642</v>
      </c>
    </row>
    <row r="827" spans="1:25" ht="12.75" customHeight="1" x14ac:dyDescent="0.2">
      <c r="A827" s="91">
        <f t="shared" si="23"/>
        <v>1</v>
      </c>
      <c r="B827" s="79" t="s">
        <v>1078</v>
      </c>
      <c r="C827" s="79" t="s">
        <v>1078</v>
      </c>
      <c r="D827" s="79" t="s">
        <v>2594</v>
      </c>
      <c r="E827" s="55" t="s">
        <v>3261</v>
      </c>
      <c r="F827" s="79" t="s">
        <v>2594</v>
      </c>
      <c r="G827" s="79" t="s">
        <v>1079</v>
      </c>
      <c r="H827" s="79" t="s">
        <v>2772</v>
      </c>
      <c r="I827" s="79" t="s">
        <v>2764</v>
      </c>
      <c r="J827" s="79" t="s">
        <v>1080</v>
      </c>
      <c r="K827" s="79" t="s">
        <v>1075</v>
      </c>
      <c r="L827" s="79" t="s">
        <v>1081</v>
      </c>
      <c r="Y827" s="79" t="s">
        <v>2648</v>
      </c>
    </row>
    <row r="828" spans="1:25" ht="12.75" customHeight="1" x14ac:dyDescent="0.2">
      <c r="A828" s="91">
        <f t="shared" si="23"/>
        <v>1</v>
      </c>
      <c r="B828" s="79" t="s">
        <v>1170</v>
      </c>
      <c r="C828" s="79" t="s">
        <v>1170</v>
      </c>
      <c r="D828" s="79" t="s">
        <v>1169</v>
      </c>
      <c r="E828" s="55" t="s">
        <v>3262</v>
      </c>
      <c r="F828" s="79" t="s">
        <v>1169</v>
      </c>
      <c r="G828" s="79" t="s">
        <v>1171</v>
      </c>
      <c r="H828" s="79" t="s">
        <v>2772</v>
      </c>
      <c r="I828" s="79" t="s">
        <v>2764</v>
      </c>
      <c r="J828" s="79" t="s">
        <v>1172</v>
      </c>
      <c r="K828" s="79" t="s">
        <v>1075</v>
      </c>
      <c r="L828" s="79" t="s">
        <v>1173</v>
      </c>
      <c r="Y828" s="79" t="s">
        <v>2106</v>
      </c>
    </row>
    <row r="829" spans="1:25" ht="12.75" customHeight="1" x14ac:dyDescent="0.2">
      <c r="A829" s="91">
        <f t="shared" si="23"/>
        <v>1</v>
      </c>
      <c r="B829" s="79" t="s">
        <v>3072</v>
      </c>
      <c r="C829" s="79" t="s">
        <v>3072</v>
      </c>
      <c r="D829" s="79" t="s">
        <v>3073</v>
      </c>
      <c r="E829" s="55" t="s">
        <v>3254</v>
      </c>
      <c r="F829" s="79" t="s">
        <v>3073</v>
      </c>
      <c r="G829" s="79" t="s">
        <v>3071</v>
      </c>
      <c r="H829" s="79" t="s">
        <v>2772</v>
      </c>
      <c r="I829" s="79" t="s">
        <v>2802</v>
      </c>
      <c r="J829" s="79" t="s">
        <v>1033</v>
      </c>
      <c r="K829" s="79" t="s">
        <v>707</v>
      </c>
      <c r="L829" s="79" t="s">
        <v>1034</v>
      </c>
      <c r="Y829" s="79" t="s">
        <v>1030</v>
      </c>
    </row>
    <row r="830" spans="1:25" ht="12.75" customHeight="1" x14ac:dyDescent="0.2">
      <c r="A830" s="91">
        <f t="shared" si="23"/>
        <v>1</v>
      </c>
      <c r="B830" s="79" t="s">
        <v>1016</v>
      </c>
      <c r="C830" s="79" t="s">
        <v>1016</v>
      </c>
      <c r="D830" s="79" t="s">
        <v>1015</v>
      </c>
      <c r="E830" s="55" t="s">
        <v>3263</v>
      </c>
      <c r="F830" s="79" t="s">
        <v>1015</v>
      </c>
      <c r="G830" s="79" t="s">
        <v>1017</v>
      </c>
      <c r="H830" s="79" t="s">
        <v>2772</v>
      </c>
      <c r="I830" s="79" t="s">
        <v>2806</v>
      </c>
      <c r="J830" s="79" t="s">
        <v>1018</v>
      </c>
      <c r="K830" s="79" t="s">
        <v>707</v>
      </c>
      <c r="L830" s="79" t="s">
        <v>1019</v>
      </c>
      <c r="Y830" s="79" t="s">
        <v>2027</v>
      </c>
    </row>
    <row r="831" spans="1:25" ht="12.75" customHeight="1" x14ac:dyDescent="0.2">
      <c r="A831" s="91">
        <f t="shared" ref="A831:A894" si="24">IF(B831=B132,1,"CHECK")</f>
        <v>1</v>
      </c>
      <c r="B831" s="79" t="s">
        <v>1016</v>
      </c>
      <c r="C831" s="79" t="s">
        <v>1016</v>
      </c>
      <c r="D831" s="79" t="s">
        <v>2584</v>
      </c>
      <c r="E831" s="55" t="s">
        <v>3263</v>
      </c>
      <c r="F831" s="79" t="s">
        <v>2584</v>
      </c>
      <c r="G831" s="79" t="s">
        <v>2585</v>
      </c>
      <c r="H831" s="79" t="s">
        <v>2772</v>
      </c>
      <c r="I831" s="79" t="s">
        <v>2806</v>
      </c>
      <c r="J831" s="79" t="s">
        <v>1018</v>
      </c>
      <c r="K831" s="79" t="s">
        <v>707</v>
      </c>
      <c r="L831" s="79" t="s">
        <v>1019</v>
      </c>
      <c r="Y831" s="79" t="s">
        <v>2605</v>
      </c>
    </row>
    <row r="832" spans="1:25" ht="12.75" customHeight="1" x14ac:dyDescent="0.2">
      <c r="A832" s="91">
        <f t="shared" si="24"/>
        <v>1</v>
      </c>
      <c r="B832" s="79" t="s">
        <v>3063</v>
      </c>
      <c r="C832" s="79" t="s">
        <v>3063</v>
      </c>
      <c r="D832" s="79" t="s">
        <v>3064</v>
      </c>
      <c r="E832" s="55" t="s">
        <v>3264</v>
      </c>
      <c r="F832" s="79" t="s">
        <v>3064</v>
      </c>
      <c r="G832" s="79" t="s">
        <v>3065</v>
      </c>
      <c r="H832" s="79" t="s">
        <v>2772</v>
      </c>
      <c r="I832" s="79" t="s">
        <v>3066</v>
      </c>
      <c r="J832" s="79" t="s">
        <v>3067</v>
      </c>
      <c r="K832" s="79" t="s">
        <v>707</v>
      </c>
      <c r="L832" s="79" t="s">
        <v>3068</v>
      </c>
      <c r="Y832" s="79" t="s">
        <v>2608</v>
      </c>
    </row>
    <row r="833" spans="1:25" ht="12.75" customHeight="1" x14ac:dyDescent="0.2">
      <c r="A833" s="91">
        <f t="shared" si="24"/>
        <v>1</v>
      </c>
      <c r="B833" s="79" t="s">
        <v>2302</v>
      </c>
      <c r="C833" s="79" t="s">
        <v>2302</v>
      </c>
      <c r="D833" s="79" t="s">
        <v>2301</v>
      </c>
      <c r="E833" s="55" t="s">
        <v>3265</v>
      </c>
      <c r="F833" s="79" t="s">
        <v>2301</v>
      </c>
      <c r="G833" s="79" t="s">
        <v>2303</v>
      </c>
      <c r="H833" s="79" t="s">
        <v>2791</v>
      </c>
      <c r="I833" s="79" t="s">
        <v>2809</v>
      </c>
      <c r="J833" s="79" t="s">
        <v>2304</v>
      </c>
      <c r="K833" s="79" t="s">
        <v>707</v>
      </c>
      <c r="L833" s="79" t="s">
        <v>2305</v>
      </c>
      <c r="Y833" s="79" t="s">
        <v>2619</v>
      </c>
    </row>
    <row r="834" spans="1:25" ht="12.75" customHeight="1" x14ac:dyDescent="0.2">
      <c r="A834" s="91">
        <f t="shared" si="24"/>
        <v>1</v>
      </c>
      <c r="B834" s="79" t="s">
        <v>1930</v>
      </c>
      <c r="C834" s="79" t="s">
        <v>1930</v>
      </c>
      <c r="D834" s="79" t="s">
        <v>1929</v>
      </c>
      <c r="E834" s="55" t="s">
        <v>3266</v>
      </c>
      <c r="F834" s="79" t="s">
        <v>1929</v>
      </c>
      <c r="G834" s="79" t="s">
        <v>1931</v>
      </c>
      <c r="H834" s="79" t="s">
        <v>2782</v>
      </c>
      <c r="I834" s="79" t="s">
        <v>1920</v>
      </c>
      <c r="J834" s="79" t="s">
        <v>1932</v>
      </c>
      <c r="K834" s="79" t="s">
        <v>1489</v>
      </c>
      <c r="L834" s="79" t="s">
        <v>1933</v>
      </c>
      <c r="Y834" s="79" t="s">
        <v>2613</v>
      </c>
    </row>
    <row r="835" spans="1:25" ht="12.75" customHeight="1" x14ac:dyDescent="0.2">
      <c r="A835" s="91">
        <f t="shared" si="24"/>
        <v>1</v>
      </c>
      <c r="B835" s="79" t="s">
        <v>1935</v>
      </c>
      <c r="C835" s="79" t="s">
        <v>1935</v>
      </c>
      <c r="D835" s="79" t="s">
        <v>1934</v>
      </c>
      <c r="E835" s="55" t="s">
        <v>3224</v>
      </c>
      <c r="F835" s="79" t="s">
        <v>1934</v>
      </c>
      <c r="G835" s="79" t="s">
        <v>909</v>
      </c>
      <c r="H835" s="79" t="s">
        <v>2782</v>
      </c>
      <c r="I835" s="79" t="s">
        <v>2792</v>
      </c>
      <c r="J835" s="79" t="s">
        <v>910</v>
      </c>
      <c r="K835" s="79" t="s">
        <v>707</v>
      </c>
      <c r="L835" s="79" t="s">
        <v>911</v>
      </c>
      <c r="Y835" s="79" t="s">
        <v>2611</v>
      </c>
    </row>
    <row r="836" spans="1:25" ht="12.75" customHeight="1" x14ac:dyDescent="0.2">
      <c r="A836" s="91">
        <f t="shared" si="24"/>
        <v>1</v>
      </c>
      <c r="B836" s="79" t="s">
        <v>1937</v>
      </c>
      <c r="C836" s="79" t="s">
        <v>1937</v>
      </c>
      <c r="D836" s="79" t="s">
        <v>1936</v>
      </c>
      <c r="E836" s="55" t="s">
        <v>3227</v>
      </c>
      <c r="F836" s="79" t="s">
        <v>1936</v>
      </c>
      <c r="G836" s="79" t="s">
        <v>1926</v>
      </c>
      <c r="H836" s="79" t="s">
        <v>2782</v>
      </c>
      <c r="I836" s="79" t="s">
        <v>2784</v>
      </c>
      <c r="J836" s="79" t="s">
        <v>1927</v>
      </c>
      <c r="K836" s="79" t="s">
        <v>707</v>
      </c>
      <c r="L836" s="79" t="s">
        <v>1928</v>
      </c>
      <c r="Y836" s="79" t="s">
        <v>2617</v>
      </c>
    </row>
    <row r="837" spans="1:25" ht="12.75" customHeight="1" x14ac:dyDescent="0.2">
      <c r="A837" s="91">
        <f t="shared" si="24"/>
        <v>1</v>
      </c>
      <c r="B837" s="79" t="s">
        <v>2008</v>
      </c>
      <c r="C837" s="79" t="s">
        <v>2008</v>
      </c>
      <c r="D837" s="79" t="s">
        <v>2007</v>
      </c>
      <c r="E837" s="55" t="s">
        <v>3267</v>
      </c>
      <c r="F837" s="79" t="s">
        <v>2007</v>
      </c>
      <c r="G837" s="79" t="s">
        <v>2009</v>
      </c>
      <c r="H837" s="79" t="s">
        <v>2770</v>
      </c>
      <c r="I837" s="79" t="s">
        <v>2789</v>
      </c>
      <c r="J837" s="79" t="s">
        <v>1144</v>
      </c>
      <c r="K837" s="79" t="s">
        <v>707</v>
      </c>
      <c r="L837" s="79" t="s">
        <v>1834</v>
      </c>
      <c r="Y837" s="79" t="s">
        <v>1025</v>
      </c>
    </row>
    <row r="838" spans="1:25" ht="12.75" customHeight="1" x14ac:dyDescent="0.2">
      <c r="A838" s="91">
        <f t="shared" si="24"/>
        <v>1</v>
      </c>
      <c r="B838" s="79" t="s">
        <v>2006</v>
      </c>
      <c r="C838" s="79" t="s">
        <v>2006</v>
      </c>
      <c r="D838" s="79" t="s">
        <v>2005</v>
      </c>
      <c r="E838" s="55" t="s">
        <v>3268</v>
      </c>
      <c r="F838" s="79" t="s">
        <v>2005</v>
      </c>
      <c r="G838" s="79" t="s">
        <v>1830</v>
      </c>
      <c r="H838" s="79" t="s">
        <v>2770</v>
      </c>
      <c r="I838" s="79" t="s">
        <v>2789</v>
      </c>
      <c r="J838" s="79" t="s">
        <v>1144</v>
      </c>
      <c r="K838" s="79" t="s">
        <v>707</v>
      </c>
      <c r="L838" s="79" t="s">
        <v>865</v>
      </c>
      <c r="Y838" s="79" t="s">
        <v>2147</v>
      </c>
    </row>
    <row r="839" spans="1:25" ht="12.75" customHeight="1" x14ac:dyDescent="0.2">
      <c r="A839" s="91">
        <f t="shared" si="24"/>
        <v>1</v>
      </c>
      <c r="B839" s="79" t="s">
        <v>2018</v>
      </c>
      <c r="C839" s="79" t="s">
        <v>2018</v>
      </c>
      <c r="D839" s="79" t="s">
        <v>2017</v>
      </c>
      <c r="E839" s="55" t="s">
        <v>3224</v>
      </c>
      <c r="F839" s="79" t="s">
        <v>2017</v>
      </c>
      <c r="G839" s="79" t="s">
        <v>909</v>
      </c>
      <c r="H839" s="79" t="s">
        <v>2782</v>
      </c>
      <c r="I839" s="79" t="s">
        <v>2792</v>
      </c>
      <c r="J839" s="79" t="s">
        <v>910</v>
      </c>
      <c r="K839" s="79" t="s">
        <v>707</v>
      </c>
      <c r="L839" s="79" t="s">
        <v>911</v>
      </c>
      <c r="Y839" s="79" t="s">
        <v>2152</v>
      </c>
    </row>
    <row r="840" spans="1:25" ht="12.75" customHeight="1" x14ac:dyDescent="0.2">
      <c r="A840" s="91">
        <f t="shared" si="24"/>
        <v>1</v>
      </c>
      <c r="B840" s="79" t="s">
        <v>2016</v>
      </c>
      <c r="C840" s="79" t="s">
        <v>2016</v>
      </c>
      <c r="D840" s="79" t="s">
        <v>2015</v>
      </c>
      <c r="E840" s="55" t="s">
        <v>3266</v>
      </c>
      <c r="F840" s="79" t="s">
        <v>2015</v>
      </c>
      <c r="G840" s="79" t="s">
        <v>1931</v>
      </c>
      <c r="H840" s="79" t="s">
        <v>2782</v>
      </c>
      <c r="I840" s="79" t="s">
        <v>1489</v>
      </c>
      <c r="J840" s="79" t="s">
        <v>1932</v>
      </c>
      <c r="K840" s="79" t="s">
        <v>1489</v>
      </c>
      <c r="L840" s="79" t="s">
        <v>1933</v>
      </c>
      <c r="Y840" s="79" t="s">
        <v>861</v>
      </c>
    </row>
    <row r="841" spans="1:25" ht="12.75" customHeight="1" x14ac:dyDescent="0.2">
      <c r="A841" s="91">
        <f t="shared" si="24"/>
        <v>1</v>
      </c>
      <c r="B841" s="79" t="s">
        <v>2011</v>
      </c>
      <c r="C841" s="79" t="s">
        <v>2011</v>
      </c>
      <c r="D841" s="79" t="s">
        <v>2010</v>
      </c>
      <c r="E841" s="55" t="s">
        <v>3269</v>
      </c>
      <c r="F841" s="79" t="s">
        <v>2010</v>
      </c>
      <c r="G841" s="79" t="s">
        <v>2012</v>
      </c>
      <c r="H841" s="79" t="s">
        <v>2791</v>
      </c>
      <c r="I841" s="79" t="s">
        <v>2764</v>
      </c>
      <c r="J841" s="79" t="s">
        <v>2013</v>
      </c>
      <c r="K841" s="79" t="s">
        <v>1489</v>
      </c>
      <c r="L841" s="79" t="s">
        <v>2014</v>
      </c>
      <c r="Y841" s="79" t="s">
        <v>2202</v>
      </c>
    </row>
    <row r="842" spans="1:25" ht="12.75" customHeight="1" x14ac:dyDescent="0.2">
      <c r="A842" s="91">
        <f t="shared" si="24"/>
        <v>1</v>
      </c>
      <c r="B842" s="79" t="s">
        <v>2044</v>
      </c>
      <c r="C842" s="79" t="s">
        <v>2044</v>
      </c>
      <c r="D842" s="79" t="s">
        <v>2043</v>
      </c>
      <c r="E842" s="55" t="s">
        <v>3270</v>
      </c>
      <c r="F842" s="79" t="s">
        <v>2043</v>
      </c>
      <c r="G842" s="79" t="s">
        <v>2045</v>
      </c>
      <c r="H842" s="79" t="s">
        <v>2770</v>
      </c>
      <c r="I842" s="79" t="s">
        <v>2764</v>
      </c>
      <c r="J842" s="79" t="s">
        <v>1118</v>
      </c>
      <c r="K842" s="79" t="s">
        <v>1920</v>
      </c>
      <c r="L842" s="79" t="s">
        <v>2046</v>
      </c>
      <c r="Y842" s="79" t="s">
        <v>2194</v>
      </c>
    </row>
    <row r="843" spans="1:25" ht="12.75" customHeight="1" x14ac:dyDescent="0.2">
      <c r="A843" s="91">
        <f t="shared" si="24"/>
        <v>1</v>
      </c>
      <c r="B843" s="79" t="s">
        <v>2044</v>
      </c>
      <c r="C843" s="79" t="s">
        <v>2044</v>
      </c>
      <c r="D843" s="79" t="s">
        <v>2719</v>
      </c>
      <c r="E843" s="55" t="s">
        <v>3270</v>
      </c>
      <c r="F843" s="79" t="s">
        <v>2719</v>
      </c>
      <c r="G843" s="79" t="s">
        <v>2045</v>
      </c>
      <c r="H843" s="79" t="s">
        <v>2770</v>
      </c>
      <c r="I843" s="79" t="s">
        <v>2764</v>
      </c>
      <c r="J843" s="79" t="s">
        <v>1118</v>
      </c>
      <c r="K843" s="79" t="s">
        <v>1920</v>
      </c>
      <c r="L843" s="79" t="s">
        <v>2046</v>
      </c>
      <c r="Y843" s="79" t="s">
        <v>1956</v>
      </c>
    </row>
    <row r="844" spans="1:25" ht="12.75" customHeight="1" x14ac:dyDescent="0.2">
      <c r="A844" s="91">
        <f t="shared" si="24"/>
        <v>1</v>
      </c>
      <c r="B844" s="79" t="s">
        <v>2050</v>
      </c>
      <c r="C844" s="79" t="s">
        <v>2050</v>
      </c>
      <c r="D844" s="79" t="s">
        <v>2049</v>
      </c>
      <c r="E844" s="55" t="s">
        <v>3267</v>
      </c>
      <c r="F844" s="79" t="s">
        <v>2049</v>
      </c>
      <c r="G844" s="79" t="s">
        <v>1833</v>
      </c>
      <c r="H844" s="79" t="s">
        <v>2770</v>
      </c>
      <c r="I844" s="79" t="s">
        <v>2789</v>
      </c>
      <c r="J844" s="79" t="s">
        <v>1144</v>
      </c>
      <c r="K844" s="79" t="s">
        <v>707</v>
      </c>
      <c r="L844" s="79" t="s">
        <v>1834</v>
      </c>
      <c r="Y844" s="79" t="s">
        <v>2207</v>
      </c>
    </row>
    <row r="845" spans="1:25" ht="12.75" customHeight="1" x14ac:dyDescent="0.2">
      <c r="A845" s="91">
        <f t="shared" si="24"/>
        <v>1</v>
      </c>
      <c r="B845" s="79" t="s">
        <v>2048</v>
      </c>
      <c r="C845" s="79" t="s">
        <v>2048</v>
      </c>
      <c r="D845" s="79" t="s">
        <v>2047</v>
      </c>
      <c r="E845" s="55" t="s">
        <v>3268</v>
      </c>
      <c r="F845" s="79" t="s">
        <v>2047</v>
      </c>
      <c r="G845" s="79" t="s">
        <v>1830</v>
      </c>
      <c r="H845" s="79" t="s">
        <v>2770</v>
      </c>
      <c r="I845" s="79" t="s">
        <v>2771</v>
      </c>
      <c r="J845" s="79" t="s">
        <v>1144</v>
      </c>
      <c r="K845" s="79" t="s">
        <v>707</v>
      </c>
      <c r="L845" s="79" t="s">
        <v>865</v>
      </c>
      <c r="Y845" s="79" t="s">
        <v>2216</v>
      </c>
    </row>
    <row r="846" spans="1:25" ht="12.75" customHeight="1" x14ac:dyDescent="0.2">
      <c r="A846" s="91">
        <f t="shared" si="24"/>
        <v>1</v>
      </c>
      <c r="B846" s="79" t="s">
        <v>2721</v>
      </c>
      <c r="C846" s="79" t="s">
        <v>2721</v>
      </c>
      <c r="D846" s="79" t="s">
        <v>2720</v>
      </c>
      <c r="E846" s="55" t="s">
        <v>3217</v>
      </c>
      <c r="F846" s="79" t="s">
        <v>2720</v>
      </c>
      <c r="G846" s="79" t="s">
        <v>1905</v>
      </c>
      <c r="H846" s="79" t="s">
        <v>2770</v>
      </c>
      <c r="I846" s="79" t="s">
        <v>2789</v>
      </c>
      <c r="J846" s="79" t="s">
        <v>1144</v>
      </c>
      <c r="K846" s="79" t="s">
        <v>707</v>
      </c>
      <c r="L846" s="79" t="s">
        <v>1145</v>
      </c>
      <c r="Y846" s="79" t="s">
        <v>2212</v>
      </c>
    </row>
    <row r="847" spans="1:25" ht="12.75" customHeight="1" x14ac:dyDescent="0.2">
      <c r="A847" s="91">
        <f t="shared" si="24"/>
        <v>1</v>
      </c>
      <c r="B847" s="79" t="s">
        <v>2052</v>
      </c>
      <c r="C847" s="79" t="s">
        <v>2052</v>
      </c>
      <c r="D847" s="79" t="s">
        <v>2051</v>
      </c>
      <c r="E847" s="55" t="s">
        <v>3210</v>
      </c>
      <c r="F847" s="79" t="s">
        <v>2051</v>
      </c>
      <c r="G847" s="79" t="s">
        <v>1900</v>
      </c>
      <c r="H847" s="79" t="s">
        <v>2782</v>
      </c>
      <c r="I847" s="79" t="s">
        <v>1489</v>
      </c>
      <c r="J847" s="79" t="s">
        <v>1901</v>
      </c>
      <c r="K847" s="79" t="s">
        <v>1489</v>
      </c>
      <c r="L847" s="79" t="s">
        <v>1902</v>
      </c>
      <c r="Y847" s="79" t="s">
        <v>2214</v>
      </c>
    </row>
    <row r="848" spans="1:25" ht="12.75" customHeight="1" x14ac:dyDescent="0.2">
      <c r="A848" s="91">
        <f t="shared" si="24"/>
        <v>1</v>
      </c>
      <c r="B848" s="79" t="s">
        <v>1829</v>
      </c>
      <c r="C848" s="79" t="s">
        <v>1829</v>
      </c>
      <c r="D848" s="79" t="s">
        <v>1828</v>
      </c>
      <c r="E848" s="55" t="s">
        <v>3268</v>
      </c>
      <c r="F848" s="79" t="s">
        <v>1828</v>
      </c>
      <c r="G848" s="79" t="s">
        <v>1830</v>
      </c>
      <c r="H848" s="79" t="s">
        <v>2770</v>
      </c>
      <c r="I848" s="79" t="s">
        <v>2789</v>
      </c>
      <c r="J848" s="79" t="s">
        <v>1144</v>
      </c>
      <c r="K848" s="79" t="s">
        <v>707</v>
      </c>
      <c r="L848" s="79" t="s">
        <v>865</v>
      </c>
      <c r="Y848" s="79" t="s">
        <v>2336</v>
      </c>
    </row>
    <row r="849" spans="1:25" ht="12.75" customHeight="1" x14ac:dyDescent="0.2">
      <c r="A849" s="91">
        <f t="shared" si="24"/>
        <v>1</v>
      </c>
      <c r="B849" s="79" t="s">
        <v>1829</v>
      </c>
      <c r="C849" s="79" t="s">
        <v>1829</v>
      </c>
      <c r="D849" s="79" t="s">
        <v>2712</v>
      </c>
      <c r="E849" s="55" t="s">
        <v>3268</v>
      </c>
      <c r="F849" s="79" t="s">
        <v>2712</v>
      </c>
      <c r="G849" s="79" t="s">
        <v>1830</v>
      </c>
      <c r="H849" s="79" t="s">
        <v>2770</v>
      </c>
      <c r="I849" s="79" t="s">
        <v>2789</v>
      </c>
      <c r="J849" s="79" t="s">
        <v>1144</v>
      </c>
      <c r="K849" s="79" t="s">
        <v>707</v>
      </c>
      <c r="L849" s="79" t="s">
        <v>865</v>
      </c>
      <c r="Y849" s="79" t="s">
        <v>2334</v>
      </c>
    </row>
    <row r="850" spans="1:25" ht="12.75" customHeight="1" x14ac:dyDescent="0.2">
      <c r="A850" s="91">
        <f t="shared" si="24"/>
        <v>1</v>
      </c>
      <c r="B850" s="79" t="s">
        <v>1832</v>
      </c>
      <c r="C850" s="79" t="s">
        <v>1832</v>
      </c>
      <c r="D850" s="79" t="s">
        <v>1831</v>
      </c>
      <c r="E850" s="55" t="s">
        <v>3267</v>
      </c>
      <c r="F850" s="79" t="s">
        <v>1831</v>
      </c>
      <c r="G850" s="79" t="s">
        <v>1833</v>
      </c>
      <c r="H850" s="79" t="s">
        <v>2770</v>
      </c>
      <c r="I850" s="79" t="s">
        <v>2789</v>
      </c>
      <c r="J850" s="79" t="s">
        <v>1144</v>
      </c>
      <c r="K850" s="79" t="s">
        <v>707</v>
      </c>
      <c r="L850" s="79" t="s">
        <v>1834</v>
      </c>
      <c r="Y850" s="79" t="s">
        <v>2327</v>
      </c>
    </row>
    <row r="851" spans="1:25" ht="12.75" customHeight="1" x14ac:dyDescent="0.2">
      <c r="A851" s="91">
        <f t="shared" si="24"/>
        <v>1</v>
      </c>
      <c r="B851" s="79" t="s">
        <v>2714</v>
      </c>
      <c r="C851" s="79" t="s">
        <v>2714</v>
      </c>
      <c r="D851" s="79" t="s">
        <v>2713</v>
      </c>
      <c r="E851" s="55" t="s">
        <v>3267</v>
      </c>
      <c r="F851" s="79" t="s">
        <v>2713</v>
      </c>
      <c r="G851" s="79" t="s">
        <v>1833</v>
      </c>
      <c r="H851" s="79" t="s">
        <v>2770</v>
      </c>
      <c r="I851" s="79" t="s">
        <v>2789</v>
      </c>
      <c r="J851" s="79" t="s">
        <v>1144</v>
      </c>
      <c r="K851" s="79" t="s">
        <v>707</v>
      </c>
      <c r="L851" s="79" t="s">
        <v>1834</v>
      </c>
      <c r="Y851" s="79" t="s">
        <v>2332</v>
      </c>
    </row>
    <row r="852" spans="1:25" ht="12.75" customHeight="1" x14ac:dyDescent="0.2">
      <c r="A852" s="91">
        <f t="shared" si="24"/>
        <v>1</v>
      </c>
      <c r="B852" s="79" t="s">
        <v>2224</v>
      </c>
      <c r="C852" s="79" t="s">
        <v>2224</v>
      </c>
      <c r="D852" s="79" t="s">
        <v>2223</v>
      </c>
      <c r="E852" s="55" t="s">
        <v>3271</v>
      </c>
      <c r="F852" s="79" t="s">
        <v>2223</v>
      </c>
      <c r="G852" s="79" t="s">
        <v>2225</v>
      </c>
      <c r="H852" s="79" t="s">
        <v>2782</v>
      </c>
      <c r="I852" s="79" t="s">
        <v>2810</v>
      </c>
      <c r="J852" s="79" t="s">
        <v>1849</v>
      </c>
      <c r="K852" s="79" t="s">
        <v>707</v>
      </c>
      <c r="L852" s="79" t="s">
        <v>1850</v>
      </c>
      <c r="Y852" s="79" t="s">
        <v>1891</v>
      </c>
    </row>
    <row r="853" spans="1:25" ht="12.75" customHeight="1" x14ac:dyDescent="0.2">
      <c r="A853" s="91">
        <f t="shared" si="24"/>
        <v>1</v>
      </c>
      <c r="B853" s="79" t="s">
        <v>2366</v>
      </c>
      <c r="C853" s="79" t="s">
        <v>2366</v>
      </c>
      <c r="D853" s="79" t="s">
        <v>2365</v>
      </c>
      <c r="E853" s="55" t="s">
        <v>3272</v>
      </c>
      <c r="F853" s="79" t="s">
        <v>2365</v>
      </c>
      <c r="G853" s="79" t="s">
        <v>2367</v>
      </c>
      <c r="H853" s="79" t="s">
        <v>2791</v>
      </c>
      <c r="I853" s="79" t="s">
        <v>2800</v>
      </c>
      <c r="J853" s="79" t="s">
        <v>2368</v>
      </c>
      <c r="K853" s="79" t="s">
        <v>707</v>
      </c>
      <c r="L853" s="79" t="s">
        <v>2369</v>
      </c>
      <c r="Y853" s="79" t="s">
        <v>2053</v>
      </c>
    </row>
    <row r="854" spans="1:25" ht="12.75" customHeight="1" x14ac:dyDescent="0.2">
      <c r="A854" s="91">
        <f t="shared" si="24"/>
        <v>1</v>
      </c>
      <c r="B854" s="79" t="s">
        <v>2746</v>
      </c>
      <c r="C854" s="79" t="s">
        <v>2746</v>
      </c>
      <c r="D854" s="79" t="s">
        <v>2745</v>
      </c>
      <c r="E854" s="55" t="s">
        <v>3272</v>
      </c>
      <c r="F854" s="79" t="s">
        <v>2745</v>
      </c>
      <c r="G854" s="79" t="s">
        <v>2367</v>
      </c>
      <c r="H854" s="79" t="s">
        <v>2791</v>
      </c>
      <c r="I854" s="79" t="s">
        <v>2800</v>
      </c>
      <c r="J854" s="79" t="s">
        <v>2368</v>
      </c>
      <c r="K854" s="79" t="s">
        <v>707</v>
      </c>
      <c r="L854" s="79" t="s">
        <v>2369</v>
      </c>
      <c r="Y854" s="79" t="s">
        <v>1687</v>
      </c>
    </row>
    <row r="855" spans="1:25" ht="12.75" customHeight="1" x14ac:dyDescent="0.2">
      <c r="A855" s="91">
        <f t="shared" si="24"/>
        <v>1</v>
      </c>
      <c r="B855" s="79" t="s">
        <v>2424</v>
      </c>
      <c r="C855" s="79" t="s">
        <v>2424</v>
      </c>
      <c r="D855" s="79" t="s">
        <v>2423</v>
      </c>
      <c r="E855" s="55" t="s">
        <v>3273</v>
      </c>
      <c r="F855" s="79" t="s">
        <v>2423</v>
      </c>
      <c r="G855" s="79" t="s">
        <v>2425</v>
      </c>
      <c r="H855" s="79" t="s">
        <v>2791</v>
      </c>
      <c r="I855" s="79" t="s">
        <v>2800</v>
      </c>
      <c r="J855" s="79" t="s">
        <v>2426</v>
      </c>
      <c r="K855" s="79" t="s">
        <v>707</v>
      </c>
      <c r="L855" s="79" t="s">
        <v>2427</v>
      </c>
      <c r="Y855" s="79" t="s">
        <v>1794</v>
      </c>
    </row>
    <row r="856" spans="1:25" ht="12.75" customHeight="1" x14ac:dyDescent="0.2">
      <c r="A856" s="91">
        <f t="shared" si="24"/>
        <v>1</v>
      </c>
      <c r="B856" s="79" t="s">
        <v>2424</v>
      </c>
      <c r="C856" s="79" t="s">
        <v>2424</v>
      </c>
      <c r="D856" s="79" t="s">
        <v>2748</v>
      </c>
      <c r="E856" s="55" t="s">
        <v>3273</v>
      </c>
      <c r="F856" s="79" t="s">
        <v>2748</v>
      </c>
      <c r="G856" s="79" t="s">
        <v>2425</v>
      </c>
      <c r="H856" s="79" t="s">
        <v>2791</v>
      </c>
      <c r="I856" s="79" t="s">
        <v>813</v>
      </c>
      <c r="J856" s="79" t="s">
        <v>2426</v>
      </c>
      <c r="K856" s="79" t="s">
        <v>707</v>
      </c>
      <c r="L856" s="79" t="s">
        <v>2427</v>
      </c>
      <c r="Y856" s="79" t="s">
        <v>1799</v>
      </c>
    </row>
    <row r="857" spans="1:25" ht="12.75" customHeight="1" x14ac:dyDescent="0.2">
      <c r="A857" s="91">
        <f t="shared" si="24"/>
        <v>1</v>
      </c>
      <c r="B857" s="79" t="s">
        <v>1306</v>
      </c>
      <c r="C857" s="79" t="s">
        <v>1306</v>
      </c>
      <c r="D857" s="79" t="s">
        <v>1305</v>
      </c>
      <c r="E857" s="55" t="s">
        <v>3236</v>
      </c>
      <c r="F857" s="79" t="s">
        <v>1305</v>
      </c>
      <c r="G857" s="79" t="s">
        <v>1307</v>
      </c>
      <c r="H857" s="79" t="s">
        <v>2762</v>
      </c>
      <c r="I857" s="79" t="s">
        <v>2774</v>
      </c>
      <c r="J857" s="79" t="s">
        <v>822</v>
      </c>
      <c r="K857" s="79" t="s">
        <v>707</v>
      </c>
      <c r="L857" s="79" t="s">
        <v>823</v>
      </c>
      <c r="Y857" s="79" t="s">
        <v>1809</v>
      </c>
    </row>
    <row r="858" spans="1:25" ht="12.75" customHeight="1" x14ac:dyDescent="0.2">
      <c r="A858" s="91">
        <f t="shared" si="24"/>
        <v>1</v>
      </c>
      <c r="B858" s="79" t="s">
        <v>3159</v>
      </c>
      <c r="C858" s="79" t="s">
        <v>3159</v>
      </c>
      <c r="D858" s="79" t="s">
        <v>3160</v>
      </c>
      <c r="E858" s="55" t="s">
        <v>3274</v>
      </c>
      <c r="F858" s="79" t="s">
        <v>3160</v>
      </c>
      <c r="G858" s="79" t="s">
        <v>3161</v>
      </c>
      <c r="H858" s="79" t="s">
        <v>2759</v>
      </c>
      <c r="I858" s="79" t="s">
        <v>2760</v>
      </c>
      <c r="J858" s="79" t="s">
        <v>843</v>
      </c>
      <c r="K858" s="79" t="s">
        <v>707</v>
      </c>
      <c r="L858" s="79" t="s">
        <v>3162</v>
      </c>
      <c r="Y858" s="79" t="s">
        <v>2040</v>
      </c>
    </row>
    <row r="859" spans="1:25" ht="12.75" customHeight="1" x14ac:dyDescent="0.2">
      <c r="A859" s="91">
        <f t="shared" si="24"/>
        <v>1</v>
      </c>
      <c r="B859" s="79" t="s">
        <v>2072</v>
      </c>
      <c r="C859" s="79" t="s">
        <v>2072</v>
      </c>
      <c r="D859" s="79" t="s">
        <v>2071</v>
      </c>
      <c r="E859" s="55" t="s">
        <v>3275</v>
      </c>
      <c r="F859" s="79" t="s">
        <v>2071</v>
      </c>
      <c r="G859" s="79" t="s">
        <v>2073</v>
      </c>
      <c r="H859" s="79" t="s">
        <v>2770</v>
      </c>
      <c r="I859" s="79" t="s">
        <v>2811</v>
      </c>
      <c r="J859" s="79" t="s">
        <v>2074</v>
      </c>
      <c r="K859" s="79" t="s">
        <v>723</v>
      </c>
      <c r="L859" s="79" t="s">
        <v>2075</v>
      </c>
      <c r="Y859" s="79" t="s">
        <v>1692</v>
      </c>
    </row>
    <row r="860" spans="1:25" ht="12.75" customHeight="1" x14ac:dyDescent="0.2">
      <c r="A860" s="91">
        <f t="shared" si="24"/>
        <v>1</v>
      </c>
      <c r="B860" s="79" t="s">
        <v>1962</v>
      </c>
      <c r="C860" s="79" t="s">
        <v>1962</v>
      </c>
      <c r="D860" s="79" t="s">
        <v>1961</v>
      </c>
      <c r="E860" s="55" t="s">
        <v>3276</v>
      </c>
      <c r="F860" s="79" t="s">
        <v>1961</v>
      </c>
      <c r="G860" s="79" t="s">
        <v>1963</v>
      </c>
      <c r="H860" s="79" t="s">
        <v>2770</v>
      </c>
      <c r="I860" s="79" t="s">
        <v>2811</v>
      </c>
      <c r="J860" s="79" t="s">
        <v>1964</v>
      </c>
      <c r="K860" s="79" t="s">
        <v>723</v>
      </c>
      <c r="L860" s="79" t="s">
        <v>1965</v>
      </c>
      <c r="Y860" s="79" t="s">
        <v>1824</v>
      </c>
    </row>
    <row r="861" spans="1:25" ht="12.75" customHeight="1" x14ac:dyDescent="0.2">
      <c r="A861" s="91">
        <f t="shared" si="24"/>
        <v>1</v>
      </c>
      <c r="B861" s="79" t="s">
        <v>1182</v>
      </c>
      <c r="C861" s="79" t="s">
        <v>1182</v>
      </c>
      <c r="D861" s="79" t="s">
        <v>1181</v>
      </c>
      <c r="E861" s="55" t="s">
        <v>3277</v>
      </c>
      <c r="F861" s="79" t="s">
        <v>1181</v>
      </c>
      <c r="G861" s="79" t="s">
        <v>1183</v>
      </c>
      <c r="H861" s="79" t="s">
        <v>2772</v>
      </c>
      <c r="I861" s="79" t="s">
        <v>2764</v>
      </c>
      <c r="J861" s="79" t="s">
        <v>1123</v>
      </c>
      <c r="K861" s="79" t="s">
        <v>723</v>
      </c>
      <c r="L861" s="79" t="s">
        <v>1124</v>
      </c>
      <c r="Y861" s="79" t="s">
        <v>1864</v>
      </c>
    </row>
    <row r="862" spans="1:25" ht="12.75" customHeight="1" x14ac:dyDescent="0.2">
      <c r="A862" s="91">
        <f t="shared" si="24"/>
        <v>1</v>
      </c>
      <c r="B862" s="79" t="s">
        <v>1185</v>
      </c>
      <c r="C862" s="79" t="s">
        <v>1185</v>
      </c>
      <c r="D862" s="79" t="s">
        <v>1184</v>
      </c>
      <c r="E862" s="55" t="s">
        <v>3278</v>
      </c>
      <c r="F862" s="79" t="s">
        <v>1184</v>
      </c>
      <c r="G862" s="79" t="s">
        <v>1186</v>
      </c>
      <c r="H862" s="79" t="s">
        <v>2772</v>
      </c>
      <c r="I862" s="79" t="s">
        <v>2764</v>
      </c>
      <c r="J862" s="79" t="s">
        <v>1187</v>
      </c>
      <c r="K862" s="79" t="s">
        <v>723</v>
      </c>
      <c r="L862" s="79" t="s">
        <v>1188</v>
      </c>
      <c r="Y862" s="79" t="s">
        <v>1697</v>
      </c>
    </row>
    <row r="863" spans="1:25" ht="12.75" customHeight="1" x14ac:dyDescent="0.2">
      <c r="A863" s="91">
        <f t="shared" si="24"/>
        <v>1</v>
      </c>
      <c r="B863" s="79" t="s">
        <v>1314</v>
      </c>
      <c r="C863" s="79" t="s">
        <v>1314</v>
      </c>
      <c r="D863" s="79" t="s">
        <v>1313</v>
      </c>
      <c r="E863" s="55" t="s">
        <v>3190</v>
      </c>
      <c r="F863" s="79" t="s">
        <v>1313</v>
      </c>
      <c r="G863" s="79" t="s">
        <v>842</v>
      </c>
      <c r="H863" s="79" t="s">
        <v>2759</v>
      </c>
      <c r="I863" s="79" t="s">
        <v>2760</v>
      </c>
      <c r="J863" s="79" t="s">
        <v>843</v>
      </c>
      <c r="K863" s="79" t="s">
        <v>707</v>
      </c>
      <c r="L863" s="79" t="s">
        <v>844</v>
      </c>
      <c r="Y863" s="79" t="s">
        <v>990</v>
      </c>
    </row>
    <row r="864" spans="1:25" ht="12.75" customHeight="1" x14ac:dyDescent="0.2">
      <c r="A864" s="91">
        <f t="shared" si="24"/>
        <v>1</v>
      </c>
      <c r="B864" s="79" t="s">
        <v>2325</v>
      </c>
      <c r="C864" s="79" t="s">
        <v>2325</v>
      </c>
      <c r="D864" s="79" t="s">
        <v>2324</v>
      </c>
      <c r="E864" s="55" t="s">
        <v>3271</v>
      </c>
      <c r="F864" s="79" t="s">
        <v>2324</v>
      </c>
      <c r="G864" s="79" t="s">
        <v>2326</v>
      </c>
      <c r="H864" s="79" t="s">
        <v>2782</v>
      </c>
      <c r="I864" s="79" t="s">
        <v>2810</v>
      </c>
      <c r="J864" s="79" t="s">
        <v>1849</v>
      </c>
      <c r="K864" s="79" t="s">
        <v>707</v>
      </c>
      <c r="L864" s="79" t="s">
        <v>1850</v>
      </c>
      <c r="Y864" s="79" t="s">
        <v>1002</v>
      </c>
    </row>
    <row r="865" spans="1:25" ht="12.75" customHeight="1" x14ac:dyDescent="0.2">
      <c r="A865" s="91">
        <f t="shared" si="24"/>
        <v>1</v>
      </c>
      <c r="B865" s="79" t="s">
        <v>3149</v>
      </c>
      <c r="C865" s="79" t="s">
        <v>3149</v>
      </c>
      <c r="D865" s="79" t="s">
        <v>3150</v>
      </c>
      <c r="E865" s="55" t="s">
        <v>3279</v>
      </c>
      <c r="F865" s="79" t="s">
        <v>3150</v>
      </c>
      <c r="G865" s="79" t="s">
        <v>3151</v>
      </c>
      <c r="H865" s="79" t="s">
        <v>2791</v>
      </c>
      <c r="I865" s="79" t="s">
        <v>2812</v>
      </c>
      <c r="J865" s="79" t="s">
        <v>3152</v>
      </c>
      <c r="K865" s="79" t="s">
        <v>707</v>
      </c>
      <c r="L865" s="79" t="s">
        <v>2377</v>
      </c>
      <c r="Y865" s="79" t="s">
        <v>995</v>
      </c>
    </row>
    <row r="866" spans="1:25" ht="12.75" customHeight="1" x14ac:dyDescent="0.2">
      <c r="A866" s="91">
        <f t="shared" si="24"/>
        <v>1</v>
      </c>
      <c r="B866" s="79" t="s">
        <v>2361</v>
      </c>
      <c r="C866" s="79" t="s">
        <v>2361</v>
      </c>
      <c r="D866" s="79" t="s">
        <v>2360</v>
      </c>
      <c r="E866" s="55" t="s">
        <v>3280</v>
      </c>
      <c r="F866" s="79" t="s">
        <v>2360</v>
      </c>
      <c r="G866" s="79" t="s">
        <v>2362</v>
      </c>
      <c r="H866" s="79" t="s">
        <v>2791</v>
      </c>
      <c r="I866" s="79" t="s">
        <v>2812</v>
      </c>
      <c r="J866" s="79" t="s">
        <v>2363</v>
      </c>
      <c r="K866" s="79" t="s">
        <v>707</v>
      </c>
      <c r="L866" s="79" t="s">
        <v>2364</v>
      </c>
      <c r="Y866" s="79" t="s">
        <v>1004</v>
      </c>
    </row>
    <row r="867" spans="1:25" ht="12.75" customHeight="1" x14ac:dyDescent="0.2">
      <c r="A867" s="91">
        <f t="shared" si="24"/>
        <v>1</v>
      </c>
      <c r="B867" s="79" t="s">
        <v>2290</v>
      </c>
      <c r="C867" s="79" t="s">
        <v>2290</v>
      </c>
      <c r="D867" s="79" t="s">
        <v>2289</v>
      </c>
      <c r="E867" s="55" t="s">
        <v>3281</v>
      </c>
      <c r="F867" s="79" t="s">
        <v>2289</v>
      </c>
      <c r="G867" s="79" t="s">
        <v>2291</v>
      </c>
      <c r="H867" s="79" t="s">
        <v>2782</v>
      </c>
      <c r="I867" s="79" t="s">
        <v>2783</v>
      </c>
      <c r="J867" s="79" t="s">
        <v>2292</v>
      </c>
      <c r="K867" s="79" t="s">
        <v>707</v>
      </c>
      <c r="L867" s="79" t="s">
        <v>2293</v>
      </c>
      <c r="Y867" s="79" t="s">
        <v>1000</v>
      </c>
    </row>
    <row r="868" spans="1:25" ht="12.75" customHeight="1" x14ac:dyDescent="0.2">
      <c r="A868" s="91">
        <f t="shared" si="24"/>
        <v>1</v>
      </c>
      <c r="B868" s="79" t="s">
        <v>859</v>
      </c>
      <c r="C868" s="79" t="s">
        <v>859</v>
      </c>
      <c r="D868" s="79" t="s">
        <v>858</v>
      </c>
      <c r="E868" s="55" t="s">
        <v>3282</v>
      </c>
      <c r="F868" s="79" t="s">
        <v>858</v>
      </c>
      <c r="G868" s="79" t="s">
        <v>860</v>
      </c>
      <c r="H868" s="79" t="s">
        <v>2804</v>
      </c>
      <c r="I868" s="79" t="s">
        <v>2813</v>
      </c>
      <c r="J868" s="79" t="s">
        <v>717</v>
      </c>
      <c r="K868" s="79" t="s">
        <v>707</v>
      </c>
      <c r="L868" s="79" t="s">
        <v>718</v>
      </c>
      <c r="Y868" s="79" t="s">
        <v>1819</v>
      </c>
    </row>
    <row r="869" spans="1:25" ht="12.75" customHeight="1" x14ac:dyDescent="0.2">
      <c r="A869" s="91">
        <f t="shared" si="24"/>
        <v>1</v>
      </c>
      <c r="B869" s="79" t="s">
        <v>859</v>
      </c>
      <c r="C869" s="79" t="s">
        <v>859</v>
      </c>
      <c r="D869" s="79" t="s">
        <v>2582</v>
      </c>
      <c r="E869" s="55" t="s">
        <v>3282</v>
      </c>
      <c r="F869" s="79" t="s">
        <v>2582</v>
      </c>
      <c r="G869" s="79" t="s">
        <v>2583</v>
      </c>
      <c r="H869" s="79" t="s">
        <v>2804</v>
      </c>
      <c r="I869" s="79" t="s">
        <v>2813</v>
      </c>
      <c r="J869" s="79" t="s">
        <v>717</v>
      </c>
      <c r="K869" s="79" t="s">
        <v>707</v>
      </c>
      <c r="L869" s="79" t="s">
        <v>718</v>
      </c>
      <c r="Y869" s="79" t="s">
        <v>1236</v>
      </c>
    </row>
    <row r="870" spans="1:25" ht="12.75" customHeight="1" x14ac:dyDescent="0.2">
      <c r="A870" s="91">
        <f t="shared" si="24"/>
        <v>1</v>
      </c>
      <c r="B870" s="79" t="s">
        <v>2345</v>
      </c>
      <c r="C870" s="79" t="s">
        <v>2345</v>
      </c>
      <c r="D870" s="79" t="s">
        <v>2344</v>
      </c>
      <c r="E870" s="55" t="s">
        <v>3283</v>
      </c>
      <c r="F870" s="79" t="s">
        <v>2344</v>
      </c>
      <c r="G870" s="79" t="s">
        <v>2814</v>
      </c>
      <c r="H870" s="79" t="s">
        <v>2782</v>
      </c>
      <c r="I870" s="79" t="s">
        <v>2784</v>
      </c>
      <c r="J870" s="79" t="s">
        <v>1974</v>
      </c>
      <c r="K870" s="79" t="s">
        <v>707</v>
      </c>
      <c r="L870" s="79" t="s">
        <v>1975</v>
      </c>
      <c r="Y870" s="79" t="s">
        <v>1549</v>
      </c>
    </row>
    <row r="871" spans="1:25" ht="12.75" customHeight="1" x14ac:dyDescent="0.2">
      <c r="A871" s="91">
        <f t="shared" si="24"/>
        <v>1</v>
      </c>
      <c r="B871" s="79" t="s">
        <v>1400</v>
      </c>
      <c r="C871" s="79" t="s">
        <v>1400</v>
      </c>
      <c r="D871" s="79" t="s">
        <v>1399</v>
      </c>
      <c r="E871" s="55" t="s">
        <v>3284</v>
      </c>
      <c r="F871" s="79" t="s">
        <v>1399</v>
      </c>
      <c r="G871" s="79" t="s">
        <v>1401</v>
      </c>
      <c r="H871" s="79" t="s">
        <v>2762</v>
      </c>
      <c r="I871" s="79" t="s">
        <v>2764</v>
      </c>
      <c r="J871" s="79" t="s">
        <v>1402</v>
      </c>
      <c r="K871" s="79" t="s">
        <v>898</v>
      </c>
      <c r="L871" s="79" t="s">
        <v>1403</v>
      </c>
      <c r="Y871" s="79" t="s">
        <v>2197</v>
      </c>
    </row>
    <row r="872" spans="1:25" ht="12.75" customHeight="1" x14ac:dyDescent="0.2">
      <c r="A872" s="91">
        <f t="shared" si="24"/>
        <v>1</v>
      </c>
      <c r="B872" s="79" t="s">
        <v>2511</v>
      </c>
      <c r="C872" s="79" t="s">
        <v>2511</v>
      </c>
      <c r="D872" s="79" t="s">
        <v>2510</v>
      </c>
      <c r="E872" s="55" t="s">
        <v>3187</v>
      </c>
      <c r="F872" s="79" t="s">
        <v>2510</v>
      </c>
      <c r="G872" s="79" t="s">
        <v>961</v>
      </c>
      <c r="H872" s="79" t="s">
        <v>2759</v>
      </c>
      <c r="I872" s="79" t="s">
        <v>2760</v>
      </c>
      <c r="J872" s="79" t="s">
        <v>843</v>
      </c>
      <c r="K872" s="79" t="s">
        <v>707</v>
      </c>
      <c r="L872" s="79" t="s">
        <v>955</v>
      </c>
      <c r="Y872" s="79" t="s">
        <v>2738</v>
      </c>
    </row>
    <row r="873" spans="1:25" ht="12.75" customHeight="1" x14ac:dyDescent="0.2">
      <c r="A873" s="91">
        <f t="shared" si="24"/>
        <v>1</v>
      </c>
      <c r="B873" s="79" t="s">
        <v>2519</v>
      </c>
      <c r="C873" s="79" t="s">
        <v>2519</v>
      </c>
      <c r="D873" s="79" t="s">
        <v>2518</v>
      </c>
      <c r="E873" s="55" t="s">
        <v>3187</v>
      </c>
      <c r="F873" s="79" t="s">
        <v>2518</v>
      </c>
      <c r="G873" s="79" t="s">
        <v>986</v>
      </c>
      <c r="H873" s="79" t="s">
        <v>2759</v>
      </c>
      <c r="I873" s="79" t="s">
        <v>2760</v>
      </c>
      <c r="J873" s="79" t="s">
        <v>843</v>
      </c>
      <c r="K873" s="79" t="s">
        <v>707</v>
      </c>
      <c r="L873" s="79" t="s">
        <v>955</v>
      </c>
      <c r="Y873" s="79" t="s">
        <v>2741</v>
      </c>
    </row>
    <row r="874" spans="1:25" ht="12.75" customHeight="1" x14ac:dyDescent="0.2">
      <c r="A874" s="91">
        <f t="shared" si="24"/>
        <v>1</v>
      </c>
      <c r="B874" s="79" t="s">
        <v>2515</v>
      </c>
      <c r="C874" s="79" t="s">
        <v>2515</v>
      </c>
      <c r="D874" s="79" t="s">
        <v>2514</v>
      </c>
      <c r="E874" s="55" t="s">
        <v>3285</v>
      </c>
      <c r="F874" s="79" t="s">
        <v>2514</v>
      </c>
      <c r="G874" s="79" t="s">
        <v>973</v>
      </c>
      <c r="H874" s="79" t="s">
        <v>2767</v>
      </c>
      <c r="I874" s="79" t="s">
        <v>2816</v>
      </c>
      <c r="J874" s="79" t="s">
        <v>974</v>
      </c>
      <c r="K874" s="79" t="s">
        <v>707</v>
      </c>
      <c r="L874" s="79" t="s">
        <v>975</v>
      </c>
      <c r="Y874" s="79" t="s">
        <v>1425</v>
      </c>
    </row>
    <row r="875" spans="1:25" ht="12.75" customHeight="1" x14ac:dyDescent="0.2">
      <c r="A875" s="91">
        <f t="shared" si="24"/>
        <v>1</v>
      </c>
      <c r="B875" s="79" t="s">
        <v>2513</v>
      </c>
      <c r="C875" s="79" t="s">
        <v>2513</v>
      </c>
      <c r="D875" s="79" t="s">
        <v>2512</v>
      </c>
      <c r="E875" s="55" t="s">
        <v>3228</v>
      </c>
      <c r="F875" s="79" t="s">
        <v>2512</v>
      </c>
      <c r="G875" s="79" t="s">
        <v>969</v>
      </c>
      <c r="H875" s="79" t="s">
        <v>2759</v>
      </c>
      <c r="I875" s="79" t="s">
        <v>2760</v>
      </c>
      <c r="J875" s="79" t="s">
        <v>843</v>
      </c>
      <c r="K875" s="79" t="s">
        <v>707</v>
      </c>
      <c r="L875" s="79" t="s">
        <v>970</v>
      </c>
      <c r="Y875" s="79" t="s">
        <v>2103</v>
      </c>
    </row>
    <row r="876" spans="1:25" ht="12.75" customHeight="1" x14ac:dyDescent="0.2">
      <c r="A876" s="91">
        <f t="shared" si="24"/>
        <v>1</v>
      </c>
      <c r="B876" s="79" t="s">
        <v>2521</v>
      </c>
      <c r="C876" s="79" t="s">
        <v>2521</v>
      </c>
      <c r="D876" s="79" t="s">
        <v>2520</v>
      </c>
      <c r="E876" s="55" t="s">
        <v>3216</v>
      </c>
      <c r="F876" s="79" t="s">
        <v>2520</v>
      </c>
      <c r="G876" s="79" t="s">
        <v>989</v>
      </c>
      <c r="H876" s="79" t="s">
        <v>2759</v>
      </c>
      <c r="I876" s="79" t="s">
        <v>2790</v>
      </c>
      <c r="J876" s="79" t="s">
        <v>979</v>
      </c>
      <c r="K876" s="79" t="s">
        <v>707</v>
      </c>
      <c r="L876" s="79" t="s">
        <v>980</v>
      </c>
      <c r="Y876" s="79" t="s">
        <v>1554</v>
      </c>
    </row>
    <row r="877" spans="1:25" ht="12.75" customHeight="1" x14ac:dyDescent="0.2">
      <c r="A877" s="91">
        <f t="shared" si="24"/>
        <v>1</v>
      </c>
      <c r="B877" s="79" t="s">
        <v>2517</v>
      </c>
      <c r="C877" s="79" t="s">
        <v>2517</v>
      </c>
      <c r="D877" s="79" t="s">
        <v>2516</v>
      </c>
      <c r="E877" s="55" t="s">
        <v>3220</v>
      </c>
      <c r="F877" s="79" t="s">
        <v>2516</v>
      </c>
      <c r="G877" s="79" t="s">
        <v>983</v>
      </c>
      <c r="H877" s="79" t="s">
        <v>2759</v>
      </c>
      <c r="I877" s="79" t="s">
        <v>2761</v>
      </c>
      <c r="J877" s="79" t="s">
        <v>965</v>
      </c>
      <c r="K877" s="79" t="s">
        <v>707</v>
      </c>
      <c r="L877" s="79" t="s">
        <v>966</v>
      </c>
      <c r="Y877" s="79" t="s">
        <v>1352</v>
      </c>
    </row>
    <row r="878" spans="1:25" ht="12.75" customHeight="1" x14ac:dyDescent="0.2">
      <c r="A878" s="91">
        <f t="shared" si="24"/>
        <v>1</v>
      </c>
      <c r="B878" s="79" t="s">
        <v>2509</v>
      </c>
      <c r="C878" s="79" t="s">
        <v>2509</v>
      </c>
      <c r="D878" s="79" t="s">
        <v>2508</v>
      </c>
      <c r="E878" s="55" t="s">
        <v>3187</v>
      </c>
      <c r="F878" s="79" t="s">
        <v>2508</v>
      </c>
      <c r="G878" s="79" t="s">
        <v>961</v>
      </c>
      <c r="H878" s="79" t="s">
        <v>2759</v>
      </c>
      <c r="I878" s="79" t="s">
        <v>2760</v>
      </c>
      <c r="J878" s="79" t="s">
        <v>843</v>
      </c>
      <c r="K878" s="79" t="s">
        <v>707</v>
      </c>
      <c r="L878" s="79" t="s">
        <v>955</v>
      </c>
      <c r="Y878" s="79" t="s">
        <v>1387</v>
      </c>
    </row>
    <row r="879" spans="1:25" ht="12.75" customHeight="1" x14ac:dyDescent="0.2">
      <c r="A879" s="91">
        <f t="shared" si="24"/>
        <v>1</v>
      </c>
      <c r="B879" s="79" t="s">
        <v>948</v>
      </c>
      <c r="C879" s="79" t="s">
        <v>948</v>
      </c>
      <c r="D879" s="79" t="s">
        <v>947</v>
      </c>
      <c r="E879" s="55" t="s">
        <v>3286</v>
      </c>
      <c r="F879" s="79" t="s">
        <v>947</v>
      </c>
      <c r="G879" s="79" t="s">
        <v>949</v>
      </c>
      <c r="H879" s="79" t="s">
        <v>2772</v>
      </c>
      <c r="I879" s="79" t="s">
        <v>2803</v>
      </c>
      <c r="J879" s="79" t="s">
        <v>950</v>
      </c>
      <c r="K879" s="79" t="s">
        <v>707</v>
      </c>
      <c r="L879" s="79" t="s">
        <v>951</v>
      </c>
      <c r="Y879" s="79" t="s">
        <v>1444</v>
      </c>
    </row>
    <row r="880" spans="1:25" ht="12.75" customHeight="1" x14ac:dyDescent="0.2">
      <c r="A880" s="91">
        <f t="shared" si="24"/>
        <v>1</v>
      </c>
      <c r="B880" s="79" t="s">
        <v>960</v>
      </c>
      <c r="C880" s="79" t="s">
        <v>960</v>
      </c>
      <c r="D880" s="79" t="s">
        <v>959</v>
      </c>
      <c r="E880" s="55" t="s">
        <v>3187</v>
      </c>
      <c r="F880" s="79" t="s">
        <v>959</v>
      </c>
      <c r="G880" s="79" t="s">
        <v>961</v>
      </c>
      <c r="H880" s="79" t="s">
        <v>2759</v>
      </c>
      <c r="I880" s="79" t="s">
        <v>2760</v>
      </c>
      <c r="J880" s="79" t="s">
        <v>843</v>
      </c>
      <c r="K880" s="79" t="s">
        <v>707</v>
      </c>
      <c r="L880" s="79" t="s">
        <v>955</v>
      </c>
      <c r="Y880" s="79" t="s">
        <v>1588</v>
      </c>
    </row>
    <row r="881" spans="1:25" ht="12.75" customHeight="1" x14ac:dyDescent="0.2">
      <c r="A881" s="91">
        <f t="shared" si="24"/>
        <v>1</v>
      </c>
      <c r="B881" s="79" t="s">
        <v>957</v>
      </c>
      <c r="C881" s="79" t="s">
        <v>957</v>
      </c>
      <c r="D881" s="79" t="s">
        <v>956</v>
      </c>
      <c r="E881" s="55" t="s">
        <v>3187</v>
      </c>
      <c r="F881" s="79" t="s">
        <v>956</v>
      </c>
      <c r="G881" s="79" t="s">
        <v>958</v>
      </c>
      <c r="H881" s="79" t="s">
        <v>2759</v>
      </c>
      <c r="I881" s="79" t="s">
        <v>2760</v>
      </c>
      <c r="J881" s="79" t="s">
        <v>843</v>
      </c>
      <c r="K881" s="79" t="s">
        <v>707</v>
      </c>
      <c r="L881" s="79" t="s">
        <v>955</v>
      </c>
      <c r="Y881" s="79" t="s">
        <v>1284</v>
      </c>
    </row>
    <row r="882" spans="1:25" ht="12.75" customHeight="1" x14ac:dyDescent="0.2">
      <c r="A882" s="91">
        <f t="shared" si="24"/>
        <v>1</v>
      </c>
      <c r="B882" s="79" t="s">
        <v>968</v>
      </c>
      <c r="C882" s="79" t="s">
        <v>968</v>
      </c>
      <c r="D882" s="79" t="s">
        <v>967</v>
      </c>
      <c r="E882" s="55" t="s">
        <v>3228</v>
      </c>
      <c r="F882" s="79" t="s">
        <v>967</v>
      </c>
      <c r="G882" s="79" t="s">
        <v>969</v>
      </c>
      <c r="H882" s="79" t="s">
        <v>2759</v>
      </c>
      <c r="I882" s="79" t="s">
        <v>2760</v>
      </c>
      <c r="J882" s="79" t="s">
        <v>843</v>
      </c>
      <c r="K882" s="79" t="s">
        <v>707</v>
      </c>
      <c r="L882" s="79" t="s">
        <v>970</v>
      </c>
      <c r="Y882" s="79" t="s">
        <v>2284</v>
      </c>
    </row>
    <row r="883" spans="1:25" ht="12.75" customHeight="1" x14ac:dyDescent="0.2">
      <c r="A883" s="91">
        <f t="shared" si="24"/>
        <v>1</v>
      </c>
      <c r="B883" s="79" t="s">
        <v>963</v>
      </c>
      <c r="C883" s="79" t="s">
        <v>963</v>
      </c>
      <c r="D883" s="79" t="s">
        <v>962</v>
      </c>
      <c r="E883" s="55" t="s">
        <v>3220</v>
      </c>
      <c r="F883" s="79" t="s">
        <v>962</v>
      </c>
      <c r="G883" s="79" t="s">
        <v>964</v>
      </c>
      <c r="H883" s="79" t="s">
        <v>2759</v>
      </c>
      <c r="I883" s="79" t="s">
        <v>2761</v>
      </c>
      <c r="J883" s="79" t="s">
        <v>965</v>
      </c>
      <c r="K883" s="79" t="s">
        <v>707</v>
      </c>
      <c r="L883" s="79" t="s">
        <v>966</v>
      </c>
      <c r="Y883" s="79" t="s">
        <v>1775</v>
      </c>
    </row>
    <row r="884" spans="1:25" ht="12.75" customHeight="1" x14ac:dyDescent="0.2">
      <c r="A884" s="91">
        <f t="shared" si="24"/>
        <v>1</v>
      </c>
      <c r="B884" s="79" t="s">
        <v>985</v>
      </c>
      <c r="C884" s="79" t="s">
        <v>985</v>
      </c>
      <c r="D884" s="79" t="s">
        <v>984</v>
      </c>
      <c r="E884" s="55" t="s">
        <v>3187</v>
      </c>
      <c r="F884" s="79" t="s">
        <v>984</v>
      </c>
      <c r="G884" s="79" t="s">
        <v>986</v>
      </c>
      <c r="H884" s="79" t="s">
        <v>2759</v>
      </c>
      <c r="I884" s="79" t="s">
        <v>2760</v>
      </c>
      <c r="J884" s="79" t="s">
        <v>843</v>
      </c>
      <c r="K884" s="79" t="s">
        <v>707</v>
      </c>
      <c r="L884" s="79" t="s">
        <v>955</v>
      </c>
      <c r="Y884" s="79" t="s">
        <v>2032</v>
      </c>
    </row>
    <row r="885" spans="1:25" ht="12.75" customHeight="1" x14ac:dyDescent="0.2">
      <c r="A885" s="91">
        <f t="shared" si="24"/>
        <v>1</v>
      </c>
      <c r="B885" s="79" t="s">
        <v>972</v>
      </c>
      <c r="C885" s="79" t="s">
        <v>972</v>
      </c>
      <c r="D885" s="79" t="s">
        <v>971</v>
      </c>
      <c r="E885" s="55" t="s">
        <v>3285</v>
      </c>
      <c r="F885" s="79" t="s">
        <v>971</v>
      </c>
      <c r="G885" s="79" t="s">
        <v>973</v>
      </c>
      <c r="H885" s="79" t="s">
        <v>2767</v>
      </c>
      <c r="I885" s="79" t="s">
        <v>2816</v>
      </c>
      <c r="J885" s="79" t="s">
        <v>974</v>
      </c>
      <c r="K885" s="79" t="s">
        <v>707</v>
      </c>
      <c r="L885" s="79" t="s">
        <v>975</v>
      </c>
      <c r="Y885" s="79" t="s">
        <v>1666</v>
      </c>
    </row>
    <row r="886" spans="1:25" ht="12.75" customHeight="1" x14ac:dyDescent="0.2">
      <c r="A886" s="91">
        <f t="shared" si="24"/>
        <v>1</v>
      </c>
      <c r="B886" s="79" t="s">
        <v>988</v>
      </c>
      <c r="C886" s="79" t="s">
        <v>988</v>
      </c>
      <c r="D886" s="79" t="s">
        <v>987</v>
      </c>
      <c r="E886" s="55" t="s">
        <v>3216</v>
      </c>
      <c r="F886" s="79" t="s">
        <v>987</v>
      </c>
      <c r="G886" s="79" t="s">
        <v>989</v>
      </c>
      <c r="H886" s="79" t="s">
        <v>2759</v>
      </c>
      <c r="I886" s="79" t="s">
        <v>2790</v>
      </c>
      <c r="J886" s="79" t="s">
        <v>979</v>
      </c>
      <c r="K886" s="79" t="s">
        <v>707</v>
      </c>
      <c r="L886" s="79" t="s">
        <v>980</v>
      </c>
      <c r="Y886" s="79" t="s">
        <v>2080</v>
      </c>
    </row>
    <row r="887" spans="1:25" ht="12.75" customHeight="1" x14ac:dyDescent="0.2">
      <c r="A887" s="91">
        <f t="shared" si="24"/>
        <v>1</v>
      </c>
      <c r="B887" s="79" t="s">
        <v>982</v>
      </c>
      <c r="C887" s="79" t="s">
        <v>982</v>
      </c>
      <c r="D887" s="79" t="s">
        <v>981</v>
      </c>
      <c r="E887" s="55" t="s">
        <v>3220</v>
      </c>
      <c r="F887" s="79" t="s">
        <v>981</v>
      </c>
      <c r="G887" s="79" t="s">
        <v>983</v>
      </c>
      <c r="H887" s="79" t="s">
        <v>2759</v>
      </c>
      <c r="I887" s="79" t="s">
        <v>2761</v>
      </c>
      <c r="J887" s="79" t="s">
        <v>965</v>
      </c>
      <c r="K887" s="79" t="s">
        <v>707</v>
      </c>
      <c r="L887" s="79" t="s">
        <v>966</v>
      </c>
      <c r="Y887" s="79" t="s">
        <v>1835</v>
      </c>
    </row>
    <row r="888" spans="1:25" ht="12.75" customHeight="1" x14ac:dyDescent="0.2">
      <c r="A888" s="91">
        <f t="shared" si="24"/>
        <v>1</v>
      </c>
      <c r="B888" s="79" t="s">
        <v>953</v>
      </c>
      <c r="C888" s="79" t="s">
        <v>953</v>
      </c>
      <c r="D888" s="79" t="s">
        <v>952</v>
      </c>
      <c r="E888" s="55" t="s">
        <v>3187</v>
      </c>
      <c r="F888" s="79" t="s">
        <v>952</v>
      </c>
      <c r="G888" s="79" t="s">
        <v>954</v>
      </c>
      <c r="H888" s="79" t="s">
        <v>2759</v>
      </c>
      <c r="I888" s="79" t="s">
        <v>2760</v>
      </c>
      <c r="J888" s="79" t="s">
        <v>843</v>
      </c>
      <c r="K888" s="79" t="s">
        <v>707</v>
      </c>
      <c r="L888" s="79" t="s">
        <v>955</v>
      </c>
      <c r="Y888" s="79" t="s">
        <v>1846</v>
      </c>
    </row>
    <row r="889" spans="1:25" ht="12.75" customHeight="1" x14ac:dyDescent="0.2">
      <c r="A889" s="91">
        <f t="shared" si="24"/>
        <v>1</v>
      </c>
      <c r="B889" s="79" t="s">
        <v>710</v>
      </c>
      <c r="C889" s="79" t="s">
        <v>710</v>
      </c>
      <c r="D889" s="79" t="s">
        <v>709</v>
      </c>
      <c r="E889" s="55" t="s">
        <v>3287</v>
      </c>
      <c r="F889" s="79" t="s">
        <v>709</v>
      </c>
      <c r="G889" s="79" t="s">
        <v>711</v>
      </c>
      <c r="H889" s="79" t="s">
        <v>2804</v>
      </c>
      <c r="I889" s="79" t="s">
        <v>2817</v>
      </c>
      <c r="J889" s="79" t="s">
        <v>712</v>
      </c>
      <c r="K889" s="79" t="s">
        <v>707</v>
      </c>
      <c r="L889" s="79" t="s">
        <v>713</v>
      </c>
      <c r="Y889" s="79" t="s">
        <v>1843</v>
      </c>
    </row>
    <row r="890" spans="1:25" ht="12.75" customHeight="1" x14ac:dyDescent="0.2">
      <c r="A890" s="91">
        <f t="shared" si="24"/>
        <v>1</v>
      </c>
      <c r="B890" s="79" t="s">
        <v>2483</v>
      </c>
      <c r="C890" s="79" t="s">
        <v>2483</v>
      </c>
      <c r="D890" s="79" t="s">
        <v>2482</v>
      </c>
      <c r="E890" s="55" t="s">
        <v>3187</v>
      </c>
      <c r="F890" s="79" t="s">
        <v>2482</v>
      </c>
      <c r="G890" s="79" t="s">
        <v>954</v>
      </c>
      <c r="H890" s="79" t="s">
        <v>2759</v>
      </c>
      <c r="I890" s="79" t="s">
        <v>2760</v>
      </c>
      <c r="J890" s="79" t="s">
        <v>843</v>
      </c>
      <c r="K890" s="79" t="s">
        <v>707</v>
      </c>
      <c r="L890" s="79" t="s">
        <v>955</v>
      </c>
      <c r="Y890" s="79" t="s">
        <v>1840</v>
      </c>
    </row>
    <row r="891" spans="1:25" ht="12.75" customHeight="1" x14ac:dyDescent="0.2">
      <c r="A891" s="91">
        <f t="shared" si="24"/>
        <v>1</v>
      </c>
      <c r="B891" s="79" t="s">
        <v>2494</v>
      </c>
      <c r="C891" s="79" t="s">
        <v>2494</v>
      </c>
      <c r="D891" s="79" t="s">
        <v>2493</v>
      </c>
      <c r="E891" s="55" t="s">
        <v>3187</v>
      </c>
      <c r="F891" s="79" t="s">
        <v>2493</v>
      </c>
      <c r="G891" s="79" t="s">
        <v>986</v>
      </c>
      <c r="H891" s="79" t="s">
        <v>2759</v>
      </c>
      <c r="I891" s="79" t="s">
        <v>2760</v>
      </c>
      <c r="J891" s="79" t="s">
        <v>843</v>
      </c>
      <c r="K891" s="79" t="s">
        <v>707</v>
      </c>
      <c r="L891" s="79" t="s">
        <v>955</v>
      </c>
      <c r="Y891" s="79" t="s">
        <v>1804</v>
      </c>
    </row>
    <row r="892" spans="1:25" ht="12.75" customHeight="1" x14ac:dyDescent="0.2">
      <c r="A892" s="91">
        <f t="shared" si="24"/>
        <v>1</v>
      </c>
      <c r="B892" s="79" t="s">
        <v>2492</v>
      </c>
      <c r="C892" s="79" t="s">
        <v>2492</v>
      </c>
      <c r="D892" s="79" t="s">
        <v>2491</v>
      </c>
      <c r="E892" s="55" t="s">
        <v>3285</v>
      </c>
      <c r="F892" s="79" t="s">
        <v>2491</v>
      </c>
      <c r="G892" s="79" t="s">
        <v>973</v>
      </c>
      <c r="H892" s="79" t="s">
        <v>2767</v>
      </c>
      <c r="I892" s="79" t="s">
        <v>2816</v>
      </c>
      <c r="J892" s="79" t="s">
        <v>974</v>
      </c>
      <c r="K892" s="79" t="s">
        <v>707</v>
      </c>
      <c r="L892" s="79" t="s">
        <v>975</v>
      </c>
      <c r="Y892" s="79" t="s">
        <v>2144</v>
      </c>
    </row>
    <row r="893" spans="1:25" ht="12.75" customHeight="1" x14ac:dyDescent="0.2">
      <c r="A893" s="91">
        <f t="shared" si="24"/>
        <v>1</v>
      </c>
      <c r="B893" s="79" t="s">
        <v>2490</v>
      </c>
      <c r="C893" s="79" t="s">
        <v>2490</v>
      </c>
      <c r="D893" s="79" t="s">
        <v>2489</v>
      </c>
      <c r="E893" s="55" t="s">
        <v>3228</v>
      </c>
      <c r="F893" s="79" t="s">
        <v>2489</v>
      </c>
      <c r="G893" s="79" t="s">
        <v>969</v>
      </c>
      <c r="H893" s="79" t="s">
        <v>2759</v>
      </c>
      <c r="I893" s="79" t="s">
        <v>2760</v>
      </c>
      <c r="J893" s="79" t="s">
        <v>843</v>
      </c>
      <c r="K893" s="79" t="s">
        <v>707</v>
      </c>
      <c r="L893" s="79" t="s">
        <v>970</v>
      </c>
      <c r="Y893" s="79" t="s">
        <v>2154</v>
      </c>
    </row>
    <row r="894" spans="1:25" ht="12.75" customHeight="1" x14ac:dyDescent="0.2">
      <c r="A894" s="91">
        <f t="shared" si="24"/>
        <v>1</v>
      </c>
      <c r="B894" s="79" t="s">
        <v>2485</v>
      </c>
      <c r="C894" s="79" t="s">
        <v>2485</v>
      </c>
      <c r="D894" s="79" t="s">
        <v>2484</v>
      </c>
      <c r="E894" s="55" t="s">
        <v>3220</v>
      </c>
      <c r="F894" s="79" t="s">
        <v>2484</v>
      </c>
      <c r="G894" s="79" t="s">
        <v>964</v>
      </c>
      <c r="H894" s="79" t="s">
        <v>2759</v>
      </c>
      <c r="I894" s="79" t="s">
        <v>2761</v>
      </c>
      <c r="J894" s="79" t="s">
        <v>965</v>
      </c>
      <c r="K894" s="79" t="s">
        <v>707</v>
      </c>
      <c r="L894" s="79" t="s">
        <v>966</v>
      </c>
      <c r="Y894" s="79" t="s">
        <v>2159</v>
      </c>
    </row>
    <row r="895" spans="1:25" ht="12.75" customHeight="1" x14ac:dyDescent="0.2">
      <c r="A895" s="91">
        <f t="shared" ref="A895:A958" si="25">IF(B895=B196,1,"CHECK")</f>
        <v>1</v>
      </c>
      <c r="B895" s="79" t="s">
        <v>1316</v>
      </c>
      <c r="C895" s="79" t="s">
        <v>1316</v>
      </c>
      <c r="D895" s="79" t="s">
        <v>1315</v>
      </c>
      <c r="E895" s="55" t="s">
        <v>3199</v>
      </c>
      <c r="F895" s="79" t="s">
        <v>1315</v>
      </c>
      <c r="G895" s="79" t="s">
        <v>1317</v>
      </c>
      <c r="H895" s="79" t="s">
        <v>2762</v>
      </c>
      <c r="I895" s="79" t="s">
        <v>2774</v>
      </c>
      <c r="J895" s="79" t="s">
        <v>1273</v>
      </c>
      <c r="K895" s="79" t="s">
        <v>707</v>
      </c>
      <c r="L895" s="79" t="s">
        <v>1274</v>
      </c>
      <c r="Y895" s="79" t="s">
        <v>2726</v>
      </c>
    </row>
    <row r="896" spans="1:25" ht="12.75" customHeight="1" x14ac:dyDescent="0.2">
      <c r="A896" s="91">
        <f t="shared" si="25"/>
        <v>1</v>
      </c>
      <c r="B896" s="79" t="s">
        <v>1321</v>
      </c>
      <c r="C896" s="79" t="s">
        <v>1321</v>
      </c>
      <c r="D896" s="79" t="s">
        <v>1320</v>
      </c>
      <c r="E896" s="55" t="s">
        <v>3235</v>
      </c>
      <c r="F896" s="79" t="s">
        <v>1320</v>
      </c>
      <c r="G896" s="79" t="s">
        <v>1322</v>
      </c>
      <c r="H896" s="79" t="s">
        <v>2762</v>
      </c>
      <c r="I896" s="79" t="s">
        <v>2769</v>
      </c>
      <c r="J896" s="79" t="s">
        <v>1323</v>
      </c>
      <c r="K896" s="79" t="s">
        <v>707</v>
      </c>
      <c r="L896" s="79" t="s">
        <v>1324</v>
      </c>
      <c r="Y896" s="79" t="s">
        <v>1631</v>
      </c>
    </row>
    <row r="897" spans="1:25" ht="12.75" customHeight="1" x14ac:dyDescent="0.2">
      <c r="A897" s="91">
        <f t="shared" si="25"/>
        <v>1</v>
      </c>
      <c r="B897" s="79" t="s">
        <v>1326</v>
      </c>
      <c r="C897" s="79" t="s">
        <v>1326</v>
      </c>
      <c r="D897" s="79" t="s">
        <v>1325</v>
      </c>
      <c r="E897" s="55" t="s">
        <v>3187</v>
      </c>
      <c r="F897" s="79" t="s">
        <v>1325</v>
      </c>
      <c r="G897" s="79" t="s">
        <v>954</v>
      </c>
      <c r="H897" s="79" t="s">
        <v>2759</v>
      </c>
      <c r="I897" s="79" t="s">
        <v>2760</v>
      </c>
      <c r="J897" s="79" t="s">
        <v>843</v>
      </c>
      <c r="K897" s="79" t="s">
        <v>707</v>
      </c>
      <c r="L897" s="79" t="s">
        <v>955</v>
      </c>
      <c r="Y897" s="79" t="s">
        <v>1006</v>
      </c>
    </row>
    <row r="898" spans="1:25" ht="12.75" customHeight="1" x14ac:dyDescent="0.2">
      <c r="A898" s="91">
        <f t="shared" si="25"/>
        <v>1</v>
      </c>
      <c r="B898" s="79" t="s">
        <v>2115</v>
      </c>
      <c r="C898" s="79" t="s">
        <v>2115</v>
      </c>
      <c r="D898" s="79" t="s">
        <v>2114</v>
      </c>
      <c r="E898" s="55" t="s">
        <v>3288</v>
      </c>
      <c r="F898" s="79" t="s">
        <v>2114</v>
      </c>
      <c r="G898" s="79" t="s">
        <v>2116</v>
      </c>
      <c r="H898" s="79" t="s">
        <v>2780</v>
      </c>
      <c r="I898" s="79" t="s">
        <v>2818</v>
      </c>
      <c r="J898" s="79" t="s">
        <v>2117</v>
      </c>
      <c r="K898" s="79" t="s">
        <v>707</v>
      </c>
      <c r="L898" s="79" t="s">
        <v>2118</v>
      </c>
      <c r="Y898" s="79" t="s">
        <v>1013</v>
      </c>
    </row>
    <row r="899" spans="1:25" ht="12.75" customHeight="1" x14ac:dyDescent="0.2">
      <c r="A899" s="91">
        <f t="shared" si="25"/>
        <v>1</v>
      </c>
      <c r="B899" s="79" t="s">
        <v>2120</v>
      </c>
      <c r="C899" s="79" t="s">
        <v>2120</v>
      </c>
      <c r="D899" s="79" t="s">
        <v>2119</v>
      </c>
      <c r="E899" s="55" t="s">
        <v>3289</v>
      </c>
      <c r="F899" s="79" t="s">
        <v>2119</v>
      </c>
      <c r="G899" s="79" t="s">
        <v>2121</v>
      </c>
      <c r="H899" s="79" t="s">
        <v>2782</v>
      </c>
      <c r="I899" s="79" t="s">
        <v>2819</v>
      </c>
      <c r="J899" s="79" t="s">
        <v>2122</v>
      </c>
      <c r="K899" s="79" t="s">
        <v>707</v>
      </c>
      <c r="L899" s="79" t="s">
        <v>2123</v>
      </c>
      <c r="Y899" s="79" t="s">
        <v>1011</v>
      </c>
    </row>
    <row r="900" spans="1:25" ht="12.75" customHeight="1" x14ac:dyDescent="0.2">
      <c r="A900" s="91">
        <f t="shared" si="25"/>
        <v>1</v>
      </c>
      <c r="B900" s="79" t="s">
        <v>2125</v>
      </c>
      <c r="C900" s="79" t="s">
        <v>2125</v>
      </c>
      <c r="D900" s="79" t="s">
        <v>2124</v>
      </c>
      <c r="E900" s="55" t="s">
        <v>3290</v>
      </c>
      <c r="F900" s="79" t="s">
        <v>2124</v>
      </c>
      <c r="G900" s="79" t="s">
        <v>2126</v>
      </c>
      <c r="H900" s="79" t="s">
        <v>2780</v>
      </c>
      <c r="I900" s="79" t="s">
        <v>2797</v>
      </c>
      <c r="J900" s="79" t="s">
        <v>2127</v>
      </c>
      <c r="K900" s="79" t="s">
        <v>707</v>
      </c>
      <c r="L900" s="79" t="s">
        <v>2128</v>
      </c>
      <c r="Y900" s="79" t="s">
        <v>1851</v>
      </c>
    </row>
    <row r="901" spans="1:25" ht="12.75" customHeight="1" x14ac:dyDescent="0.2">
      <c r="A901" s="91">
        <f t="shared" si="25"/>
        <v>1</v>
      </c>
      <c r="B901" s="79" t="s">
        <v>3139</v>
      </c>
      <c r="C901" s="79" t="s">
        <v>3139</v>
      </c>
      <c r="D901" s="79" t="s">
        <v>3140</v>
      </c>
      <c r="E901" s="55" t="s">
        <v>3291</v>
      </c>
      <c r="F901" s="79" t="s">
        <v>3140</v>
      </c>
      <c r="G901" s="79" t="s">
        <v>3141</v>
      </c>
      <c r="H901" s="79" t="s">
        <v>2791</v>
      </c>
      <c r="I901" s="79" t="s">
        <v>2765</v>
      </c>
      <c r="J901" s="79" t="s">
        <v>3142</v>
      </c>
      <c r="K901" s="79" t="s">
        <v>898</v>
      </c>
      <c r="L901" s="79" t="s">
        <v>3143</v>
      </c>
      <c r="Y901" s="79" t="s">
        <v>1717</v>
      </c>
    </row>
    <row r="902" spans="1:25" ht="12.75" customHeight="1" x14ac:dyDescent="0.2">
      <c r="A902" s="91">
        <f t="shared" si="25"/>
        <v>1</v>
      </c>
      <c r="B902" s="79" t="s">
        <v>3163</v>
      </c>
      <c r="C902" s="79" t="s">
        <v>3163</v>
      </c>
      <c r="D902" s="79" t="s">
        <v>3164</v>
      </c>
      <c r="E902" s="55" t="s">
        <v>3292</v>
      </c>
      <c r="F902" s="79" t="s">
        <v>3164</v>
      </c>
      <c r="G902" s="79" t="s">
        <v>3165</v>
      </c>
      <c r="H902" s="79" t="s">
        <v>2759</v>
      </c>
      <c r="I902" s="79" t="s">
        <v>2761</v>
      </c>
      <c r="J902" s="79" t="s">
        <v>3166</v>
      </c>
      <c r="K902" s="79" t="s">
        <v>707</v>
      </c>
      <c r="L902" s="79" t="s">
        <v>3167</v>
      </c>
      <c r="Y902" s="79" t="s">
        <v>2065</v>
      </c>
    </row>
    <row r="903" spans="1:25" ht="12.75" customHeight="1" x14ac:dyDescent="0.2">
      <c r="A903" s="91">
        <f t="shared" si="25"/>
        <v>1</v>
      </c>
      <c r="B903" s="79" t="s">
        <v>1121</v>
      </c>
      <c r="C903" s="79" t="s">
        <v>1121</v>
      </c>
      <c r="D903" s="79" t="s">
        <v>1120</v>
      </c>
      <c r="E903" s="55" t="s">
        <v>3277</v>
      </c>
      <c r="F903" s="79" t="s">
        <v>1120</v>
      </c>
      <c r="G903" s="79" t="s">
        <v>1122</v>
      </c>
      <c r="H903" s="79" t="s">
        <v>2772</v>
      </c>
      <c r="I903" s="79" t="s">
        <v>2764</v>
      </c>
      <c r="J903" s="79" t="s">
        <v>1123</v>
      </c>
      <c r="K903" s="79" t="s">
        <v>723</v>
      </c>
      <c r="L903" s="79" t="s">
        <v>1124</v>
      </c>
      <c r="Y903" s="79" t="s">
        <v>2179</v>
      </c>
    </row>
    <row r="904" spans="1:25" ht="12.75" customHeight="1" x14ac:dyDescent="0.2">
      <c r="A904" s="91">
        <f t="shared" si="25"/>
        <v>1</v>
      </c>
      <c r="B904" s="79" t="s">
        <v>3075</v>
      </c>
      <c r="C904" s="79" t="s">
        <v>3075</v>
      </c>
      <c r="D904" s="79" t="s">
        <v>3076</v>
      </c>
      <c r="E904" s="55" t="s">
        <v>3293</v>
      </c>
      <c r="F904" s="79" t="s">
        <v>3076</v>
      </c>
      <c r="G904" s="79" t="s">
        <v>3077</v>
      </c>
      <c r="H904" s="79" t="s">
        <v>2762</v>
      </c>
      <c r="I904" s="79" t="s">
        <v>2764</v>
      </c>
      <c r="J904" s="79" t="s">
        <v>3078</v>
      </c>
      <c r="K904" s="79" t="s">
        <v>898</v>
      </c>
      <c r="L904" s="79" t="s">
        <v>3079</v>
      </c>
      <c r="Y904" s="79" t="s">
        <v>2109</v>
      </c>
    </row>
    <row r="905" spans="1:25" ht="12.75" customHeight="1" x14ac:dyDescent="0.2">
      <c r="A905" s="91">
        <f t="shared" si="25"/>
        <v>1</v>
      </c>
      <c r="B905" s="79" t="s">
        <v>1041</v>
      </c>
      <c r="C905" s="79" t="s">
        <v>1041</v>
      </c>
      <c r="D905" s="79" t="s">
        <v>1040</v>
      </c>
      <c r="E905" s="55" t="s">
        <v>3294</v>
      </c>
      <c r="F905" s="79" t="s">
        <v>1040</v>
      </c>
      <c r="G905" s="79" t="s">
        <v>1042</v>
      </c>
      <c r="H905" s="79" t="s">
        <v>2772</v>
      </c>
      <c r="I905" s="79" t="s">
        <v>2821</v>
      </c>
      <c r="J905" s="79" t="s">
        <v>1043</v>
      </c>
      <c r="K905" s="79" t="s">
        <v>707</v>
      </c>
      <c r="L905" s="79" t="s">
        <v>1044</v>
      </c>
      <c r="Y905" s="79" t="s">
        <v>2234</v>
      </c>
    </row>
    <row r="906" spans="1:25" ht="12.75" customHeight="1" x14ac:dyDescent="0.2">
      <c r="A906" s="91">
        <f t="shared" si="25"/>
        <v>1</v>
      </c>
      <c r="B906" s="79" t="s">
        <v>2020</v>
      </c>
      <c r="C906" s="79" t="s">
        <v>2020</v>
      </c>
      <c r="D906" s="79" t="s">
        <v>2019</v>
      </c>
      <c r="E906" s="55" t="s">
        <v>3295</v>
      </c>
      <c r="F906" s="79" t="s">
        <v>2019</v>
      </c>
      <c r="G906" s="79" t="s">
        <v>2021</v>
      </c>
      <c r="H906" s="79" t="s">
        <v>2770</v>
      </c>
      <c r="I906" s="79" t="s">
        <v>2789</v>
      </c>
      <c r="J906" s="79" t="s">
        <v>1969</v>
      </c>
      <c r="K906" s="79" t="s">
        <v>707</v>
      </c>
      <c r="L906" s="79" t="s">
        <v>1970</v>
      </c>
      <c r="Y906" s="79" t="s">
        <v>2238</v>
      </c>
    </row>
    <row r="907" spans="1:25" ht="12.75" customHeight="1" x14ac:dyDescent="0.2">
      <c r="A907" s="91">
        <f t="shared" si="25"/>
        <v>1</v>
      </c>
      <c r="B907" s="79" t="s">
        <v>2023</v>
      </c>
      <c r="C907" s="79" t="s">
        <v>2023</v>
      </c>
      <c r="D907" s="79" t="s">
        <v>2022</v>
      </c>
      <c r="E907" s="55" t="s">
        <v>3196</v>
      </c>
      <c r="F907" s="79" t="s">
        <v>2022</v>
      </c>
      <c r="G907" s="79" t="s">
        <v>2024</v>
      </c>
      <c r="H907" s="79" t="s">
        <v>2770</v>
      </c>
      <c r="I907" s="79" t="s">
        <v>2771</v>
      </c>
      <c r="J907" s="79" t="s">
        <v>2025</v>
      </c>
      <c r="K907" s="79" t="s">
        <v>707</v>
      </c>
      <c r="L907" s="79" t="s">
        <v>2026</v>
      </c>
      <c r="Y907" s="79" t="s">
        <v>2236</v>
      </c>
    </row>
    <row r="908" spans="1:25" ht="12.75" customHeight="1" x14ac:dyDescent="0.2">
      <c r="A908" s="91">
        <f t="shared" si="25"/>
        <v>1</v>
      </c>
      <c r="B908" s="79" t="s">
        <v>2162</v>
      </c>
      <c r="C908" s="79" t="s">
        <v>2162</v>
      </c>
      <c r="D908" s="79" t="s">
        <v>2161</v>
      </c>
      <c r="E908" s="55" t="s">
        <v>3296</v>
      </c>
      <c r="F908" s="79" t="s">
        <v>2161</v>
      </c>
      <c r="G908" s="79" t="s">
        <v>2163</v>
      </c>
      <c r="H908" s="79" t="s">
        <v>2780</v>
      </c>
      <c r="I908" s="79" t="s">
        <v>1920</v>
      </c>
      <c r="J908" s="79" t="s">
        <v>2164</v>
      </c>
      <c r="K908" s="79" t="s">
        <v>1920</v>
      </c>
      <c r="L908" s="79" t="s">
        <v>2165</v>
      </c>
      <c r="Y908" s="79" t="s">
        <v>2232</v>
      </c>
    </row>
    <row r="909" spans="1:25" ht="12.75" customHeight="1" x14ac:dyDescent="0.2">
      <c r="A909" s="91">
        <f t="shared" si="25"/>
        <v>1</v>
      </c>
      <c r="B909" s="79" t="s">
        <v>2162</v>
      </c>
      <c r="C909" s="79" t="s">
        <v>2162</v>
      </c>
      <c r="D909" s="79" t="s">
        <v>2724</v>
      </c>
      <c r="E909" s="55" t="s">
        <v>3296</v>
      </c>
      <c r="F909" s="79" t="s">
        <v>2724</v>
      </c>
      <c r="G909" s="79" t="s">
        <v>2163</v>
      </c>
      <c r="H909" s="79" t="s">
        <v>2780</v>
      </c>
      <c r="I909" s="79" t="s">
        <v>1920</v>
      </c>
      <c r="J909" s="79" t="s">
        <v>2164</v>
      </c>
      <c r="K909" s="79" t="s">
        <v>1920</v>
      </c>
      <c r="L909" s="79" t="s">
        <v>2165</v>
      </c>
      <c r="Y909" s="79" t="s">
        <v>2226</v>
      </c>
    </row>
    <row r="910" spans="1:25" ht="12.75" customHeight="1" x14ac:dyDescent="0.2">
      <c r="A910" s="91">
        <f t="shared" si="25"/>
        <v>1</v>
      </c>
      <c r="B910" s="79" t="s">
        <v>2138</v>
      </c>
      <c r="C910" s="79" t="s">
        <v>2138</v>
      </c>
      <c r="D910" s="79" t="s">
        <v>2137</v>
      </c>
      <c r="E910" s="55" t="s">
        <v>3297</v>
      </c>
      <c r="F910" s="79" t="s">
        <v>2137</v>
      </c>
      <c r="G910" s="79" t="s">
        <v>2139</v>
      </c>
      <c r="H910" s="79" t="s">
        <v>2780</v>
      </c>
      <c r="I910" s="79" t="s">
        <v>2822</v>
      </c>
      <c r="J910" s="79" t="s">
        <v>2140</v>
      </c>
      <c r="K910" s="79" t="s">
        <v>707</v>
      </c>
      <c r="L910" s="79" t="s">
        <v>2141</v>
      </c>
      <c r="Y910" s="79" t="s">
        <v>2229</v>
      </c>
    </row>
    <row r="911" spans="1:25" ht="12.75" customHeight="1" x14ac:dyDescent="0.2">
      <c r="A911" s="91">
        <f t="shared" si="25"/>
        <v>1</v>
      </c>
      <c r="B911" s="79" t="s">
        <v>2143</v>
      </c>
      <c r="C911" s="79" t="s">
        <v>2143</v>
      </c>
      <c r="D911" s="79" t="s">
        <v>2142</v>
      </c>
      <c r="E911" s="55" t="s">
        <v>3196</v>
      </c>
      <c r="F911" s="79" t="s">
        <v>2142</v>
      </c>
      <c r="G911" s="79" t="s">
        <v>2024</v>
      </c>
      <c r="H911" s="79" t="s">
        <v>2770</v>
      </c>
      <c r="I911" s="79" t="s">
        <v>2771</v>
      </c>
      <c r="J911" s="79" t="s">
        <v>2025</v>
      </c>
      <c r="K911" s="79" t="s">
        <v>707</v>
      </c>
      <c r="L911" s="79" t="s">
        <v>2026</v>
      </c>
      <c r="Y911" s="79" t="s">
        <v>2240</v>
      </c>
    </row>
    <row r="912" spans="1:25" ht="12.75" customHeight="1" x14ac:dyDescent="0.2">
      <c r="A912" s="91">
        <f t="shared" si="25"/>
        <v>1</v>
      </c>
      <c r="B912" s="79" t="s">
        <v>2622</v>
      </c>
      <c r="C912" s="79" t="s">
        <v>2622</v>
      </c>
      <c r="D912" s="79" t="s">
        <v>2621</v>
      </c>
      <c r="E912" s="55" t="s">
        <v>3298</v>
      </c>
      <c r="F912" s="79" t="s">
        <v>2621</v>
      </c>
      <c r="G912" s="79" t="s">
        <v>2623</v>
      </c>
      <c r="H912" s="79" t="s">
        <v>2767</v>
      </c>
      <c r="I912" s="79" t="s">
        <v>2798</v>
      </c>
      <c r="J912" s="79" t="s">
        <v>2624</v>
      </c>
      <c r="K912" s="79" t="s">
        <v>707</v>
      </c>
      <c r="L912" s="79" t="s">
        <v>2625</v>
      </c>
      <c r="Y912" s="79" t="s">
        <v>2259</v>
      </c>
    </row>
    <row r="913" spans="1:25" ht="12.75" customHeight="1" x14ac:dyDescent="0.2">
      <c r="A913" s="91">
        <f t="shared" si="25"/>
        <v>1</v>
      </c>
      <c r="B913" s="79" t="s">
        <v>2622</v>
      </c>
      <c r="C913" s="79" t="s">
        <v>2622</v>
      </c>
      <c r="D913" s="79" t="s">
        <v>2637</v>
      </c>
      <c r="E913" s="55" t="s">
        <v>3298</v>
      </c>
      <c r="F913" s="79" t="s">
        <v>2637</v>
      </c>
      <c r="G913" s="79" t="s">
        <v>2623</v>
      </c>
      <c r="H913" s="79" t="s">
        <v>2767</v>
      </c>
      <c r="I913" s="79" t="s">
        <v>2798</v>
      </c>
      <c r="J913" s="79" t="s">
        <v>2624</v>
      </c>
      <c r="K913" s="79" t="s">
        <v>707</v>
      </c>
      <c r="L913" s="79" t="s">
        <v>2625</v>
      </c>
      <c r="Y913" s="79" t="s">
        <v>2252</v>
      </c>
    </row>
    <row r="914" spans="1:25" ht="12.75" customHeight="1" x14ac:dyDescent="0.2">
      <c r="A914" s="91">
        <f t="shared" si="25"/>
        <v>1</v>
      </c>
      <c r="B914" s="79" t="s">
        <v>2622</v>
      </c>
      <c r="C914" s="79" t="s">
        <v>2622</v>
      </c>
      <c r="D914" s="79" t="s">
        <v>2650</v>
      </c>
      <c r="E914" s="55" t="s">
        <v>3298</v>
      </c>
      <c r="F914" s="79" t="s">
        <v>2650</v>
      </c>
      <c r="G914" s="79" t="s">
        <v>2623</v>
      </c>
      <c r="H914" s="79" t="s">
        <v>2767</v>
      </c>
      <c r="I914" s="79" t="s">
        <v>2798</v>
      </c>
      <c r="J914" s="79" t="s">
        <v>2624</v>
      </c>
      <c r="K914" s="79" t="s">
        <v>707</v>
      </c>
      <c r="L914" s="79" t="s">
        <v>2625</v>
      </c>
      <c r="Y914" s="79" t="s">
        <v>2254</v>
      </c>
    </row>
    <row r="915" spans="1:25" ht="12.75" customHeight="1" x14ac:dyDescent="0.2">
      <c r="A915" s="91">
        <f t="shared" si="25"/>
        <v>1</v>
      </c>
      <c r="B915" s="79" t="s">
        <v>2622</v>
      </c>
      <c r="C915" s="79" t="s">
        <v>2622</v>
      </c>
      <c r="D915" s="79" t="s">
        <v>2657</v>
      </c>
      <c r="E915" s="55" t="s">
        <v>3298</v>
      </c>
      <c r="F915" s="79" t="s">
        <v>2657</v>
      </c>
      <c r="G915" s="79" t="s">
        <v>2623</v>
      </c>
      <c r="H915" s="79" t="s">
        <v>2767</v>
      </c>
      <c r="I915" s="79" t="s">
        <v>2798</v>
      </c>
      <c r="J915" s="79" t="s">
        <v>2624</v>
      </c>
      <c r="K915" s="79" t="s">
        <v>707</v>
      </c>
      <c r="L915" s="79" t="s">
        <v>2625</v>
      </c>
      <c r="Y915" s="79" t="s">
        <v>2246</v>
      </c>
    </row>
    <row r="916" spans="1:25" ht="12.75" customHeight="1" x14ac:dyDescent="0.2">
      <c r="A916" s="91">
        <f t="shared" si="25"/>
        <v>1</v>
      </c>
      <c r="B916" s="79" t="s">
        <v>3169</v>
      </c>
      <c r="C916" s="79" t="s">
        <v>3169</v>
      </c>
      <c r="D916" s="79" t="s">
        <v>3170</v>
      </c>
      <c r="E916" s="55" t="s">
        <v>3292</v>
      </c>
      <c r="F916" s="79" t="s">
        <v>3170</v>
      </c>
      <c r="G916" s="79" t="s">
        <v>3171</v>
      </c>
      <c r="H916" s="79" t="s">
        <v>2759</v>
      </c>
      <c r="I916" s="79" t="s">
        <v>2761</v>
      </c>
      <c r="J916" s="79" t="s">
        <v>3166</v>
      </c>
      <c r="K916" s="79" t="s">
        <v>707</v>
      </c>
      <c r="L916" s="79" t="s">
        <v>3167</v>
      </c>
      <c r="Y916" s="79" t="s">
        <v>2242</v>
      </c>
    </row>
    <row r="917" spans="1:25" ht="12.75" customHeight="1" x14ac:dyDescent="0.2">
      <c r="A917" s="91">
        <f t="shared" si="25"/>
        <v>1</v>
      </c>
      <c r="B917" s="79" t="s">
        <v>3169</v>
      </c>
      <c r="C917" s="79" t="s">
        <v>3169</v>
      </c>
      <c r="D917" s="79" t="s">
        <v>3172</v>
      </c>
      <c r="E917" s="55" t="s">
        <v>3292</v>
      </c>
      <c r="F917" s="79" t="s">
        <v>3172</v>
      </c>
      <c r="G917" s="79" t="s">
        <v>3165</v>
      </c>
      <c r="H917" s="79" t="s">
        <v>2759</v>
      </c>
      <c r="I917" s="79" t="s">
        <v>2761</v>
      </c>
      <c r="J917" s="79" t="s">
        <v>3166</v>
      </c>
      <c r="K917" s="79" t="s">
        <v>707</v>
      </c>
      <c r="L917" s="79" t="s">
        <v>3167</v>
      </c>
      <c r="Y917" s="79" t="s">
        <v>2250</v>
      </c>
    </row>
    <row r="918" spans="1:25" ht="12.75" customHeight="1" x14ac:dyDescent="0.2">
      <c r="A918" s="91">
        <f t="shared" si="25"/>
        <v>1</v>
      </c>
      <c r="B918" s="79" t="s">
        <v>3173</v>
      </c>
      <c r="C918" s="79" t="s">
        <v>3173</v>
      </c>
      <c r="D918" s="79" t="s">
        <v>3174</v>
      </c>
      <c r="E918" s="55" t="s">
        <v>3292</v>
      </c>
      <c r="F918" s="79" t="s">
        <v>3174</v>
      </c>
      <c r="G918" s="79" t="s">
        <v>3165</v>
      </c>
      <c r="H918" s="79" t="s">
        <v>2759</v>
      </c>
      <c r="I918" s="79" t="s">
        <v>2761</v>
      </c>
      <c r="J918" s="79" t="s">
        <v>3166</v>
      </c>
      <c r="K918" s="79" t="s">
        <v>707</v>
      </c>
      <c r="L918" s="79" t="s">
        <v>3167</v>
      </c>
      <c r="Y918" s="79" t="s">
        <v>2244</v>
      </c>
    </row>
    <row r="919" spans="1:25" ht="12.75" customHeight="1" x14ac:dyDescent="0.2">
      <c r="A919" s="91">
        <f t="shared" si="25"/>
        <v>1</v>
      </c>
      <c r="B919" s="79" t="s">
        <v>2640</v>
      </c>
      <c r="C919" s="79" t="s">
        <v>2640</v>
      </c>
      <c r="D919" s="79" t="s">
        <v>2639</v>
      </c>
      <c r="E919" s="55" t="s">
        <v>3299</v>
      </c>
      <c r="F919" s="79" t="s">
        <v>2639</v>
      </c>
      <c r="G919" s="79" t="s">
        <v>774</v>
      </c>
      <c r="H919" s="79" t="s">
        <v>2762</v>
      </c>
      <c r="I919" s="79" t="s">
        <v>2763</v>
      </c>
      <c r="J919" s="79" t="s">
        <v>775</v>
      </c>
      <c r="K919" s="79" t="s">
        <v>707</v>
      </c>
      <c r="L919" s="79" t="s">
        <v>776</v>
      </c>
      <c r="Y919" s="79" t="s">
        <v>1976</v>
      </c>
    </row>
    <row r="920" spans="1:25" ht="12.75" customHeight="1" x14ac:dyDescent="0.2">
      <c r="A920" s="91">
        <f t="shared" si="25"/>
        <v>1</v>
      </c>
      <c r="B920" s="79" t="s">
        <v>2640</v>
      </c>
      <c r="C920" s="79" t="s">
        <v>2640</v>
      </c>
      <c r="D920" s="79" t="s">
        <v>2651</v>
      </c>
      <c r="E920" s="55" t="s">
        <v>3299</v>
      </c>
      <c r="F920" s="79" t="s">
        <v>2651</v>
      </c>
      <c r="G920" s="79" t="s">
        <v>774</v>
      </c>
      <c r="H920" s="79" t="s">
        <v>2762</v>
      </c>
      <c r="I920" s="79" t="s">
        <v>2766</v>
      </c>
      <c r="J920" s="79" t="s">
        <v>775</v>
      </c>
      <c r="K920" s="79" t="s">
        <v>707</v>
      </c>
      <c r="L920" s="79" t="s">
        <v>776</v>
      </c>
      <c r="Y920" s="79" t="s">
        <v>2248</v>
      </c>
    </row>
    <row r="921" spans="1:25" ht="12.75" customHeight="1" x14ac:dyDescent="0.2">
      <c r="A921" s="91">
        <f t="shared" si="25"/>
        <v>1</v>
      </c>
      <c r="B921" s="79" t="s">
        <v>2655</v>
      </c>
      <c r="C921" s="79" t="s">
        <v>2655</v>
      </c>
      <c r="D921" s="79" t="s">
        <v>2654</v>
      </c>
      <c r="E921" s="55" t="s">
        <v>3300</v>
      </c>
      <c r="F921" s="79" t="s">
        <v>2654</v>
      </c>
      <c r="G921" s="79" t="s">
        <v>2656</v>
      </c>
      <c r="H921" s="79" t="s">
        <v>2791</v>
      </c>
      <c r="I921" s="79" t="s">
        <v>2809</v>
      </c>
      <c r="J921" s="79" t="s">
        <v>748</v>
      </c>
      <c r="K921" s="79" t="s">
        <v>707</v>
      </c>
      <c r="L921" s="79" t="s">
        <v>749</v>
      </c>
      <c r="Y921" s="79" t="s">
        <v>1985</v>
      </c>
    </row>
    <row r="922" spans="1:25" ht="12.75" customHeight="1" x14ac:dyDescent="0.2">
      <c r="A922" s="91">
        <f t="shared" si="25"/>
        <v>1</v>
      </c>
      <c r="B922" s="79" t="s">
        <v>2633</v>
      </c>
      <c r="C922" s="79" t="s">
        <v>2633</v>
      </c>
      <c r="D922" s="79" t="s">
        <v>2632</v>
      </c>
      <c r="E922" s="55" t="s">
        <v>3191</v>
      </c>
      <c r="F922" s="79" t="s">
        <v>2632</v>
      </c>
      <c r="G922" s="79" t="s">
        <v>2634</v>
      </c>
      <c r="H922" s="79" t="s">
        <v>2762</v>
      </c>
      <c r="I922" s="79" t="s">
        <v>2766</v>
      </c>
      <c r="J922" s="79" t="s">
        <v>885</v>
      </c>
      <c r="K922" s="79" t="s">
        <v>707</v>
      </c>
      <c r="L922" s="79" t="s">
        <v>886</v>
      </c>
      <c r="Y922" s="79" t="s">
        <v>1990</v>
      </c>
    </row>
    <row r="923" spans="1:25" ht="12.75" customHeight="1" x14ac:dyDescent="0.2">
      <c r="A923" s="91">
        <f t="shared" si="25"/>
        <v>1</v>
      </c>
      <c r="B923" s="79" t="s">
        <v>2633</v>
      </c>
      <c r="C923" s="79" t="s">
        <v>2633</v>
      </c>
      <c r="D923" s="79" t="s">
        <v>2644</v>
      </c>
      <c r="E923" s="55" t="s">
        <v>3191</v>
      </c>
      <c r="F923" s="79" t="s">
        <v>2644</v>
      </c>
      <c r="G923" s="79" t="s">
        <v>2634</v>
      </c>
      <c r="H923" s="79" t="s">
        <v>2762</v>
      </c>
      <c r="I923" s="79" t="s">
        <v>2766</v>
      </c>
      <c r="J923" s="79" t="s">
        <v>885</v>
      </c>
      <c r="K923" s="79" t="s">
        <v>707</v>
      </c>
      <c r="L923" s="79" t="s">
        <v>886</v>
      </c>
      <c r="Y923" s="79" t="s">
        <v>2000</v>
      </c>
    </row>
    <row r="924" spans="1:25" ht="12.75" customHeight="1" x14ac:dyDescent="0.2">
      <c r="A924" s="91">
        <f t="shared" si="25"/>
        <v>1</v>
      </c>
      <c r="B924" s="79" t="s">
        <v>2633</v>
      </c>
      <c r="C924" s="79" t="s">
        <v>2633</v>
      </c>
      <c r="D924" s="79" t="s">
        <v>2653</v>
      </c>
      <c r="E924" s="55" t="s">
        <v>3191</v>
      </c>
      <c r="F924" s="79" t="s">
        <v>2653</v>
      </c>
      <c r="G924" s="79" t="s">
        <v>2634</v>
      </c>
      <c r="H924" s="79" t="s">
        <v>2762</v>
      </c>
      <c r="I924" s="79" t="s">
        <v>2766</v>
      </c>
      <c r="J924" s="79" t="s">
        <v>885</v>
      </c>
      <c r="K924" s="79" t="s">
        <v>707</v>
      </c>
      <c r="L924" s="79" t="s">
        <v>886</v>
      </c>
      <c r="Y924" s="79" t="s">
        <v>1998</v>
      </c>
    </row>
    <row r="925" spans="1:25" ht="12.75" customHeight="1" x14ac:dyDescent="0.2">
      <c r="A925" s="91">
        <f t="shared" si="25"/>
        <v>1</v>
      </c>
      <c r="B925" s="79" t="s">
        <v>2633</v>
      </c>
      <c r="C925" s="79" t="s">
        <v>2633</v>
      </c>
      <c r="D925" s="79" t="s">
        <v>2660</v>
      </c>
      <c r="E925" s="55" t="s">
        <v>3191</v>
      </c>
      <c r="F925" s="79" t="s">
        <v>2660</v>
      </c>
      <c r="G925" s="79" t="s">
        <v>2634</v>
      </c>
      <c r="H925" s="79" t="s">
        <v>2762</v>
      </c>
      <c r="I925" s="79" t="s">
        <v>2766</v>
      </c>
      <c r="J925" s="79" t="s">
        <v>885</v>
      </c>
      <c r="K925" s="79" t="s">
        <v>707</v>
      </c>
      <c r="L925" s="79" t="s">
        <v>886</v>
      </c>
      <c r="Y925" s="79" t="s">
        <v>1971</v>
      </c>
    </row>
    <row r="926" spans="1:25" ht="12.75" customHeight="1" x14ac:dyDescent="0.2">
      <c r="A926" s="91">
        <f t="shared" si="25"/>
        <v>1</v>
      </c>
      <c r="B926" s="79" t="s">
        <v>2627</v>
      </c>
      <c r="C926" s="79" t="s">
        <v>2627</v>
      </c>
      <c r="D926" s="79" t="s">
        <v>2626</v>
      </c>
      <c r="E926" s="55" t="s">
        <v>3301</v>
      </c>
      <c r="F926" s="79" t="s">
        <v>2626</v>
      </c>
      <c r="G926" s="79" t="s">
        <v>1337</v>
      </c>
      <c r="H926" s="79" t="s">
        <v>2767</v>
      </c>
      <c r="I926" s="79" t="s">
        <v>2768</v>
      </c>
      <c r="J926" s="79" t="s">
        <v>1338</v>
      </c>
      <c r="K926" s="79" t="s">
        <v>707</v>
      </c>
      <c r="L926" s="79" t="s">
        <v>1339</v>
      </c>
      <c r="Y926" s="79" t="s">
        <v>1981</v>
      </c>
    </row>
    <row r="927" spans="1:25" ht="12.75" customHeight="1" x14ac:dyDescent="0.2">
      <c r="A927" s="91">
        <f t="shared" si="25"/>
        <v>1</v>
      </c>
      <c r="B927" s="79" t="s">
        <v>2627</v>
      </c>
      <c r="C927" s="79" t="s">
        <v>2627</v>
      </c>
      <c r="D927" s="79" t="s">
        <v>2638</v>
      </c>
      <c r="E927" s="55" t="s">
        <v>3301</v>
      </c>
      <c r="F927" s="79" t="s">
        <v>2638</v>
      </c>
      <c r="G927" s="79" t="s">
        <v>1337</v>
      </c>
      <c r="H927" s="79" t="s">
        <v>2767</v>
      </c>
      <c r="I927" s="79" t="s">
        <v>2768</v>
      </c>
      <c r="J927" s="79" t="s">
        <v>1338</v>
      </c>
      <c r="K927" s="79" t="s">
        <v>707</v>
      </c>
      <c r="L927" s="79" t="s">
        <v>1339</v>
      </c>
      <c r="Y927" s="79" t="s">
        <v>1993</v>
      </c>
    </row>
    <row r="928" spans="1:25" ht="12.75" customHeight="1" x14ac:dyDescent="0.2">
      <c r="A928" s="91">
        <f t="shared" si="25"/>
        <v>1</v>
      </c>
      <c r="B928" s="79" t="s">
        <v>2627</v>
      </c>
      <c r="C928" s="79" t="s">
        <v>2627</v>
      </c>
      <c r="D928" s="79" t="s">
        <v>2658</v>
      </c>
      <c r="E928" s="55" t="s">
        <v>3301</v>
      </c>
      <c r="F928" s="79" t="s">
        <v>2658</v>
      </c>
      <c r="G928" s="79" t="s">
        <v>1337</v>
      </c>
      <c r="H928" s="79" t="s">
        <v>2767</v>
      </c>
      <c r="I928" s="79" t="s">
        <v>2768</v>
      </c>
      <c r="J928" s="79" t="s">
        <v>1338</v>
      </c>
      <c r="K928" s="79" t="s">
        <v>707</v>
      </c>
      <c r="L928" s="79" t="s">
        <v>1339</v>
      </c>
      <c r="Y928" s="79" t="s">
        <v>850</v>
      </c>
    </row>
    <row r="929" spans="1:25" ht="12.75" customHeight="1" x14ac:dyDescent="0.2">
      <c r="A929" s="91">
        <f t="shared" si="25"/>
        <v>1</v>
      </c>
      <c r="B929" s="79" t="s">
        <v>2636</v>
      </c>
      <c r="C929" s="79" t="s">
        <v>2636</v>
      </c>
      <c r="D929" s="79" t="s">
        <v>2635</v>
      </c>
      <c r="E929" s="55" t="s">
        <v>3188</v>
      </c>
      <c r="F929" s="79" t="s">
        <v>2635</v>
      </c>
      <c r="G929" s="79" t="s">
        <v>834</v>
      </c>
      <c r="H929" s="79" t="s">
        <v>2767</v>
      </c>
      <c r="I929" s="79" t="s">
        <v>2768</v>
      </c>
      <c r="J929" s="79" t="s">
        <v>835</v>
      </c>
      <c r="K929" s="79" t="s">
        <v>707</v>
      </c>
      <c r="L929" s="79" t="s">
        <v>836</v>
      </c>
      <c r="Y929" s="79" t="s">
        <v>1684</v>
      </c>
    </row>
    <row r="930" spans="1:25" ht="12.75" customHeight="1" x14ac:dyDescent="0.2">
      <c r="A930" s="91">
        <f t="shared" si="25"/>
        <v>1</v>
      </c>
      <c r="B930" s="79" t="s">
        <v>2636</v>
      </c>
      <c r="C930" s="79" t="s">
        <v>2636</v>
      </c>
      <c r="D930" s="79" t="s">
        <v>2647</v>
      </c>
      <c r="E930" s="55" t="s">
        <v>3188</v>
      </c>
      <c r="F930" s="79" t="s">
        <v>2647</v>
      </c>
      <c r="G930" s="79" t="s">
        <v>1277</v>
      </c>
      <c r="H930" s="79" t="s">
        <v>2767</v>
      </c>
      <c r="I930" s="79" t="s">
        <v>2768</v>
      </c>
      <c r="J930" s="79" t="s">
        <v>835</v>
      </c>
      <c r="K930" s="79" t="s">
        <v>707</v>
      </c>
      <c r="L930" s="79" t="s">
        <v>836</v>
      </c>
      <c r="Y930" s="79" t="s">
        <v>2706</v>
      </c>
    </row>
    <row r="931" spans="1:25" ht="12.75" customHeight="1" x14ac:dyDescent="0.2">
      <c r="A931" s="91">
        <f t="shared" si="25"/>
        <v>1</v>
      </c>
      <c r="B931" s="79" t="s">
        <v>2636</v>
      </c>
      <c r="C931" s="79" t="s">
        <v>2636</v>
      </c>
      <c r="D931" s="79" t="s">
        <v>2661</v>
      </c>
      <c r="E931" s="55" t="s">
        <v>3188</v>
      </c>
      <c r="F931" s="79" t="s">
        <v>2661</v>
      </c>
      <c r="G931" s="79" t="s">
        <v>834</v>
      </c>
      <c r="H931" s="79" t="s">
        <v>2767</v>
      </c>
      <c r="I931" s="79" t="s">
        <v>2768</v>
      </c>
      <c r="J931" s="79" t="s">
        <v>835</v>
      </c>
      <c r="K931" s="79" t="s">
        <v>707</v>
      </c>
      <c r="L931" s="79" t="s">
        <v>836</v>
      </c>
      <c r="Y931" s="79" t="s">
        <v>1210</v>
      </c>
    </row>
    <row r="932" spans="1:25" ht="12.75" customHeight="1" x14ac:dyDescent="0.2">
      <c r="A932" s="91">
        <f t="shared" si="25"/>
        <v>1</v>
      </c>
      <c r="B932" s="79" t="s">
        <v>2631</v>
      </c>
      <c r="C932" s="79" t="s">
        <v>2631</v>
      </c>
      <c r="D932" s="79" t="s">
        <v>2630</v>
      </c>
      <c r="E932" s="55" t="s">
        <v>3228</v>
      </c>
      <c r="F932" s="79" t="s">
        <v>2630</v>
      </c>
      <c r="G932" s="79" t="s">
        <v>969</v>
      </c>
      <c r="H932" s="79" t="s">
        <v>2759</v>
      </c>
      <c r="I932" s="79" t="s">
        <v>2760</v>
      </c>
      <c r="J932" s="79" t="s">
        <v>843</v>
      </c>
      <c r="K932" s="79" t="s">
        <v>707</v>
      </c>
      <c r="L932" s="79" t="s">
        <v>970</v>
      </c>
      <c r="Y932" s="79" t="s">
        <v>1225</v>
      </c>
    </row>
    <row r="933" spans="1:25" ht="12.75" customHeight="1" x14ac:dyDescent="0.2">
      <c r="A933" s="91">
        <f t="shared" si="25"/>
        <v>1</v>
      </c>
      <c r="B933" s="79" t="s">
        <v>2629</v>
      </c>
      <c r="C933" s="79" t="s">
        <v>2629</v>
      </c>
      <c r="D933" s="79" t="s">
        <v>2628</v>
      </c>
      <c r="E933" s="55" t="s">
        <v>3302</v>
      </c>
      <c r="F933" s="79" t="s">
        <v>2628</v>
      </c>
      <c r="G933" s="79" t="s">
        <v>2615</v>
      </c>
      <c r="H933" s="79" t="s">
        <v>2762</v>
      </c>
      <c r="I933" s="79" t="s">
        <v>2763</v>
      </c>
      <c r="J933" s="79" t="s">
        <v>733</v>
      </c>
      <c r="K933" s="79" t="s">
        <v>707</v>
      </c>
      <c r="L933" s="79" t="s">
        <v>2616</v>
      </c>
      <c r="Y933" s="79" t="s">
        <v>1221</v>
      </c>
    </row>
    <row r="934" spans="1:25" ht="12.75" customHeight="1" x14ac:dyDescent="0.2">
      <c r="A934" s="91">
        <f t="shared" si="25"/>
        <v>1</v>
      </c>
      <c r="B934" s="79" t="s">
        <v>2629</v>
      </c>
      <c r="C934" s="79" t="s">
        <v>2629</v>
      </c>
      <c r="D934" s="79" t="s">
        <v>2641</v>
      </c>
      <c r="E934" s="55" t="s">
        <v>3302</v>
      </c>
      <c r="F934" s="79" t="s">
        <v>2641</v>
      </c>
      <c r="G934" s="79" t="s">
        <v>2615</v>
      </c>
      <c r="H934" s="79" t="s">
        <v>2762</v>
      </c>
      <c r="I934" s="79" t="s">
        <v>2763</v>
      </c>
      <c r="J934" s="79" t="s">
        <v>733</v>
      </c>
      <c r="K934" s="79" t="s">
        <v>707</v>
      </c>
      <c r="L934" s="79" t="s">
        <v>2616</v>
      </c>
      <c r="Y934" s="79" t="s">
        <v>1219</v>
      </c>
    </row>
    <row r="935" spans="1:25" ht="12.75" customHeight="1" x14ac:dyDescent="0.2">
      <c r="A935" s="91">
        <f t="shared" si="25"/>
        <v>1</v>
      </c>
      <c r="B935" s="79" t="s">
        <v>2629</v>
      </c>
      <c r="C935" s="79" t="s">
        <v>2629</v>
      </c>
      <c r="D935" s="79" t="s">
        <v>2652</v>
      </c>
      <c r="E935" s="55" t="s">
        <v>3302</v>
      </c>
      <c r="F935" s="79" t="s">
        <v>2652</v>
      </c>
      <c r="G935" s="79" t="s">
        <v>2615</v>
      </c>
      <c r="H935" s="79" t="s">
        <v>2762</v>
      </c>
      <c r="I935" s="79" t="s">
        <v>2763</v>
      </c>
      <c r="J935" s="79" t="s">
        <v>733</v>
      </c>
      <c r="K935" s="79" t="s">
        <v>707</v>
      </c>
      <c r="L935" s="79" t="s">
        <v>2616</v>
      </c>
      <c r="Y935" s="79" t="s">
        <v>1217</v>
      </c>
    </row>
    <row r="936" spans="1:25" ht="12.75" customHeight="1" x14ac:dyDescent="0.2">
      <c r="A936" s="91">
        <f t="shared" si="25"/>
        <v>1</v>
      </c>
      <c r="B936" s="79" t="s">
        <v>2629</v>
      </c>
      <c r="C936" s="79" t="s">
        <v>2629</v>
      </c>
      <c r="D936" s="79" t="s">
        <v>2659</v>
      </c>
      <c r="E936" s="55" t="s">
        <v>3302</v>
      </c>
      <c r="F936" s="79" t="s">
        <v>2659</v>
      </c>
      <c r="G936" s="79" t="s">
        <v>2615</v>
      </c>
      <c r="H936" s="79" t="s">
        <v>2762</v>
      </c>
      <c r="I936" s="79" t="s">
        <v>2763</v>
      </c>
      <c r="J936" s="79" t="s">
        <v>733</v>
      </c>
      <c r="K936" s="79" t="s">
        <v>707</v>
      </c>
      <c r="L936" s="79" t="s">
        <v>2616</v>
      </c>
      <c r="Y936" s="79" t="s">
        <v>1223</v>
      </c>
    </row>
    <row r="937" spans="1:25" ht="12.75" customHeight="1" x14ac:dyDescent="0.2">
      <c r="A937" s="91">
        <f t="shared" si="25"/>
        <v>1</v>
      </c>
      <c r="B937" s="79" t="s">
        <v>2646</v>
      </c>
      <c r="C937" s="79" t="s">
        <v>2646</v>
      </c>
      <c r="D937" s="79" t="s">
        <v>2645</v>
      </c>
      <c r="E937" s="55" t="s">
        <v>3186</v>
      </c>
      <c r="F937" s="79" t="s">
        <v>2645</v>
      </c>
      <c r="G937" s="79" t="s">
        <v>826</v>
      </c>
      <c r="H937" s="79" t="s">
        <v>2762</v>
      </c>
      <c r="I937" s="79" t="s">
        <v>2763</v>
      </c>
      <c r="J937" s="79" t="s">
        <v>827</v>
      </c>
      <c r="K937" s="79" t="s">
        <v>707</v>
      </c>
      <c r="L937" s="79" t="s">
        <v>828</v>
      </c>
      <c r="Y937" s="79" t="s">
        <v>1215</v>
      </c>
    </row>
    <row r="938" spans="1:25" ht="12.75" customHeight="1" x14ac:dyDescent="0.2">
      <c r="A938" s="91">
        <f t="shared" si="25"/>
        <v>1</v>
      </c>
      <c r="B938" s="79" t="s">
        <v>2643</v>
      </c>
      <c r="C938" s="79" t="s">
        <v>2643</v>
      </c>
      <c r="D938" s="79" t="s">
        <v>2642</v>
      </c>
      <c r="E938" s="55" t="s">
        <v>3236</v>
      </c>
      <c r="F938" s="79" t="s">
        <v>2642</v>
      </c>
      <c r="G938" s="79" t="s">
        <v>821</v>
      </c>
      <c r="H938" s="79" t="s">
        <v>2767</v>
      </c>
      <c r="I938" s="79" t="s">
        <v>2798</v>
      </c>
      <c r="J938" s="79" t="s">
        <v>822</v>
      </c>
      <c r="K938" s="79" t="s">
        <v>707</v>
      </c>
      <c r="L938" s="79" t="s">
        <v>823</v>
      </c>
      <c r="Y938" s="79" t="s">
        <v>725</v>
      </c>
    </row>
    <row r="939" spans="1:25" ht="12.75" customHeight="1" x14ac:dyDescent="0.2">
      <c r="A939" s="91">
        <f t="shared" si="25"/>
        <v>1</v>
      </c>
      <c r="B939" s="79" t="s">
        <v>2649</v>
      </c>
      <c r="C939" s="79" t="s">
        <v>2649</v>
      </c>
      <c r="D939" s="79" t="s">
        <v>2648</v>
      </c>
      <c r="E939" s="55" t="s">
        <v>3190</v>
      </c>
      <c r="F939" s="79" t="s">
        <v>2648</v>
      </c>
      <c r="G939" s="79" t="s">
        <v>842</v>
      </c>
      <c r="H939" s="79" t="s">
        <v>2759</v>
      </c>
      <c r="I939" s="79" t="s">
        <v>2760</v>
      </c>
      <c r="J939" s="79" t="s">
        <v>843</v>
      </c>
      <c r="K939" s="79" t="s">
        <v>707</v>
      </c>
      <c r="L939" s="79" t="s">
        <v>844</v>
      </c>
      <c r="Y939" s="79" t="s">
        <v>750</v>
      </c>
    </row>
    <row r="940" spans="1:25" ht="12.75" customHeight="1" x14ac:dyDescent="0.2">
      <c r="A940" s="91">
        <f t="shared" si="25"/>
        <v>1</v>
      </c>
      <c r="B940" s="79" t="s">
        <v>2107</v>
      </c>
      <c r="C940" s="79" t="s">
        <v>2107</v>
      </c>
      <c r="D940" s="79" t="s">
        <v>2106</v>
      </c>
      <c r="E940" s="55" t="s">
        <v>3303</v>
      </c>
      <c r="F940" s="79" t="s">
        <v>2106</v>
      </c>
      <c r="G940" s="79" t="s">
        <v>2108</v>
      </c>
      <c r="H940" s="79" t="s">
        <v>2780</v>
      </c>
      <c r="I940" s="79" t="s">
        <v>2818</v>
      </c>
      <c r="J940" s="79" t="s">
        <v>2101</v>
      </c>
      <c r="K940" s="79" t="s">
        <v>707</v>
      </c>
      <c r="L940" s="79" t="s">
        <v>2102</v>
      </c>
      <c r="Y940" s="79" t="s">
        <v>755</v>
      </c>
    </row>
    <row r="941" spans="1:25" ht="12.75" customHeight="1" x14ac:dyDescent="0.2">
      <c r="A941" s="91">
        <f t="shared" si="25"/>
        <v>1</v>
      </c>
      <c r="B941" s="79" t="s">
        <v>3144</v>
      </c>
      <c r="C941" s="79" t="s">
        <v>3144</v>
      </c>
      <c r="D941" s="79" t="s">
        <v>3145</v>
      </c>
      <c r="E941" s="55" t="s">
        <v>3304</v>
      </c>
      <c r="F941" s="79" t="s">
        <v>3145</v>
      </c>
      <c r="G941" s="79" t="s">
        <v>3146</v>
      </c>
      <c r="H941" s="79" t="s">
        <v>2791</v>
      </c>
      <c r="I941" s="79" t="s">
        <v>2765</v>
      </c>
      <c r="J941" s="79" t="s">
        <v>3147</v>
      </c>
      <c r="K941" s="79" t="s">
        <v>1489</v>
      </c>
      <c r="L941" s="79" t="s">
        <v>3148</v>
      </c>
      <c r="Y941" s="79" t="s">
        <v>740</v>
      </c>
    </row>
    <row r="942" spans="1:25" ht="12.75" customHeight="1" x14ac:dyDescent="0.2">
      <c r="A942" s="91">
        <f t="shared" si="25"/>
        <v>1</v>
      </c>
      <c r="B942" s="79" t="s">
        <v>1031</v>
      </c>
      <c r="C942" s="79" t="s">
        <v>1031</v>
      </c>
      <c r="D942" s="79" t="s">
        <v>1030</v>
      </c>
      <c r="E942" s="55" t="s">
        <v>3254</v>
      </c>
      <c r="F942" s="79" t="s">
        <v>1030</v>
      </c>
      <c r="G942" s="79" t="s">
        <v>1032</v>
      </c>
      <c r="H942" s="79" t="s">
        <v>2772</v>
      </c>
      <c r="I942" s="79" t="s">
        <v>2788</v>
      </c>
      <c r="J942" s="79" t="s">
        <v>1033</v>
      </c>
      <c r="K942" s="79" t="s">
        <v>707</v>
      </c>
      <c r="L942" s="79" t="s">
        <v>1034</v>
      </c>
      <c r="Y942" s="79" t="s">
        <v>745</v>
      </c>
    </row>
    <row r="943" spans="1:25" ht="12.75" customHeight="1" x14ac:dyDescent="0.2">
      <c r="A943" s="91">
        <f t="shared" si="25"/>
        <v>1</v>
      </c>
      <c r="B943" s="79" t="s">
        <v>2028</v>
      </c>
      <c r="C943" s="79" t="s">
        <v>2028</v>
      </c>
      <c r="D943" s="79" t="s">
        <v>2027</v>
      </c>
      <c r="E943" s="55" t="s">
        <v>3305</v>
      </c>
      <c r="F943" s="79" t="s">
        <v>2027</v>
      </c>
      <c r="G943" s="79" t="s">
        <v>2029</v>
      </c>
      <c r="H943" s="79" t="s">
        <v>2770</v>
      </c>
      <c r="I943" s="79" t="s">
        <v>2811</v>
      </c>
      <c r="J943" s="79" t="s">
        <v>2030</v>
      </c>
      <c r="K943" s="79" t="s">
        <v>723</v>
      </c>
      <c r="L943" s="79" t="s">
        <v>2031</v>
      </c>
      <c r="Y943" s="79" t="s">
        <v>735</v>
      </c>
    </row>
    <row r="944" spans="1:25" ht="12.75" customHeight="1" x14ac:dyDescent="0.2">
      <c r="A944" s="91">
        <f t="shared" si="25"/>
        <v>1</v>
      </c>
      <c r="B944" s="79" t="s">
        <v>2606</v>
      </c>
      <c r="C944" s="79" t="s">
        <v>2606</v>
      </c>
      <c r="D944" s="79" t="s">
        <v>2605</v>
      </c>
      <c r="E944" s="55" t="s">
        <v>3246</v>
      </c>
      <c r="F944" s="79" t="s">
        <v>2605</v>
      </c>
      <c r="G944" s="79" t="s">
        <v>2607</v>
      </c>
      <c r="H944" s="79" t="s">
        <v>2767</v>
      </c>
      <c r="I944" s="79" t="s">
        <v>2798</v>
      </c>
      <c r="J944" s="79" t="s">
        <v>1230</v>
      </c>
      <c r="K944" s="79" t="s">
        <v>707</v>
      </c>
      <c r="L944" s="79" t="s">
        <v>1231</v>
      </c>
      <c r="Y944" s="79" t="s">
        <v>730</v>
      </c>
    </row>
    <row r="945" spans="1:25" ht="12.75" customHeight="1" x14ac:dyDescent="0.2">
      <c r="A945" s="91">
        <f t="shared" si="25"/>
        <v>1</v>
      </c>
      <c r="B945" s="79" t="s">
        <v>2606</v>
      </c>
      <c r="C945" s="79" t="s">
        <v>2606</v>
      </c>
      <c r="D945" s="79" t="s">
        <v>3168</v>
      </c>
      <c r="E945" s="55" t="s">
        <v>3246</v>
      </c>
      <c r="F945" s="79" t="s">
        <v>3168</v>
      </c>
      <c r="G945" s="79" t="s">
        <v>2607</v>
      </c>
      <c r="H945" s="79" t="s">
        <v>2767</v>
      </c>
      <c r="I945" s="79" t="s">
        <v>2798</v>
      </c>
      <c r="J945" s="79" t="s">
        <v>1230</v>
      </c>
      <c r="K945" s="79" t="s">
        <v>707</v>
      </c>
      <c r="L945" s="79" t="s">
        <v>1231</v>
      </c>
      <c r="Y945" s="79" t="s">
        <v>871</v>
      </c>
    </row>
    <row r="946" spans="1:25" ht="12.75" customHeight="1" x14ac:dyDescent="0.2">
      <c r="A946" s="91">
        <f t="shared" si="25"/>
        <v>1</v>
      </c>
      <c r="B946" s="79" t="s">
        <v>2609</v>
      </c>
      <c r="C946" s="79" t="s">
        <v>2609</v>
      </c>
      <c r="D946" s="79" t="s">
        <v>2608</v>
      </c>
      <c r="E946" s="55" t="s">
        <v>3306</v>
      </c>
      <c r="F946" s="79" t="s">
        <v>2608</v>
      </c>
      <c r="G946" s="79" t="s">
        <v>997</v>
      </c>
      <c r="H946" s="79" t="s">
        <v>2762</v>
      </c>
      <c r="I946" s="79" t="s">
        <v>2763</v>
      </c>
      <c r="J946" s="79" t="s">
        <v>2610</v>
      </c>
      <c r="K946" s="79" t="s">
        <v>707</v>
      </c>
      <c r="L946" s="79" t="s">
        <v>999</v>
      </c>
      <c r="Y946" s="79" t="s">
        <v>902</v>
      </c>
    </row>
    <row r="947" spans="1:25" ht="12.75" customHeight="1" x14ac:dyDescent="0.2">
      <c r="A947" s="91">
        <f t="shared" si="25"/>
        <v>1</v>
      </c>
      <c r="B947" s="79" t="s">
        <v>2620</v>
      </c>
      <c r="C947" s="79" t="s">
        <v>2620</v>
      </c>
      <c r="D947" s="79" t="s">
        <v>2619</v>
      </c>
      <c r="E947" s="55" t="s">
        <v>3188</v>
      </c>
      <c r="F947" s="79" t="s">
        <v>2619</v>
      </c>
      <c r="G947" s="79" t="s">
        <v>1277</v>
      </c>
      <c r="H947" s="79" t="s">
        <v>2767</v>
      </c>
      <c r="I947" s="79" t="s">
        <v>2768</v>
      </c>
      <c r="J947" s="79" t="s">
        <v>835</v>
      </c>
      <c r="K947" s="79" t="s">
        <v>707</v>
      </c>
      <c r="L947" s="79" t="s">
        <v>836</v>
      </c>
      <c r="Y947" s="79" t="s">
        <v>905</v>
      </c>
    </row>
    <row r="948" spans="1:25" ht="12.75" customHeight="1" x14ac:dyDescent="0.2">
      <c r="A948" s="91">
        <f t="shared" si="25"/>
        <v>1</v>
      </c>
      <c r="B948" s="79" t="s">
        <v>2614</v>
      </c>
      <c r="C948" s="79" t="s">
        <v>2614</v>
      </c>
      <c r="D948" s="79" t="s">
        <v>2613</v>
      </c>
      <c r="E948" s="55" t="s">
        <v>3302</v>
      </c>
      <c r="F948" s="79" t="s">
        <v>2613</v>
      </c>
      <c r="G948" s="79" t="s">
        <v>2615</v>
      </c>
      <c r="H948" s="79" t="s">
        <v>2762</v>
      </c>
      <c r="I948" s="79" t="s">
        <v>2763</v>
      </c>
      <c r="J948" s="79" t="s">
        <v>733</v>
      </c>
      <c r="K948" s="79" t="s">
        <v>707</v>
      </c>
      <c r="L948" s="79" t="s">
        <v>2616</v>
      </c>
      <c r="Y948" s="79" t="s">
        <v>889</v>
      </c>
    </row>
    <row r="949" spans="1:25" ht="12.75" customHeight="1" x14ac:dyDescent="0.2">
      <c r="A949" s="91">
        <f t="shared" si="25"/>
        <v>1</v>
      </c>
      <c r="B949" s="79" t="s">
        <v>2612</v>
      </c>
      <c r="C949" s="79" t="s">
        <v>2612</v>
      </c>
      <c r="D949" s="79" t="s">
        <v>2611</v>
      </c>
      <c r="E949" s="55" t="s">
        <v>3189</v>
      </c>
      <c r="F949" s="79" t="s">
        <v>2611</v>
      </c>
      <c r="G949" s="79" t="s">
        <v>816</v>
      </c>
      <c r="H949" s="79" t="s">
        <v>2762</v>
      </c>
      <c r="I949" s="79" t="s">
        <v>2766</v>
      </c>
      <c r="J949" s="79" t="s">
        <v>817</v>
      </c>
      <c r="K949" s="79" t="s">
        <v>707</v>
      </c>
      <c r="L949" s="79" t="s">
        <v>818</v>
      </c>
      <c r="Y949" s="79" t="s">
        <v>887</v>
      </c>
    </row>
    <row r="950" spans="1:25" ht="12.75" customHeight="1" x14ac:dyDescent="0.2">
      <c r="A950" s="91">
        <f t="shared" si="25"/>
        <v>1</v>
      </c>
      <c r="B950" s="79" t="s">
        <v>2618</v>
      </c>
      <c r="C950" s="79" t="s">
        <v>2618</v>
      </c>
      <c r="D950" s="79" t="s">
        <v>2617</v>
      </c>
      <c r="E950" s="55" t="s">
        <v>3186</v>
      </c>
      <c r="F950" s="79" t="s">
        <v>2617</v>
      </c>
      <c r="G950" s="79" t="s">
        <v>826</v>
      </c>
      <c r="H950" s="79" t="s">
        <v>2762</v>
      </c>
      <c r="I950" s="79" t="s">
        <v>2763</v>
      </c>
      <c r="J950" s="79" t="s">
        <v>827</v>
      </c>
      <c r="K950" s="79" t="s">
        <v>707</v>
      </c>
      <c r="L950" s="79" t="s">
        <v>828</v>
      </c>
      <c r="Y950" s="79" t="s">
        <v>894</v>
      </c>
    </row>
    <row r="951" spans="1:25" ht="12.75" customHeight="1" x14ac:dyDescent="0.2">
      <c r="A951" s="91">
        <f t="shared" si="25"/>
        <v>1</v>
      </c>
      <c r="B951" s="79" t="s">
        <v>1026</v>
      </c>
      <c r="C951" s="79" t="s">
        <v>1026</v>
      </c>
      <c r="D951" s="79" t="s">
        <v>1025</v>
      </c>
      <c r="E951" s="55" t="s">
        <v>3307</v>
      </c>
      <c r="F951" s="79" t="s">
        <v>1025</v>
      </c>
      <c r="G951" s="79" t="s">
        <v>1027</v>
      </c>
      <c r="H951" s="79" t="s">
        <v>2772</v>
      </c>
      <c r="I951" s="79" t="s">
        <v>2788</v>
      </c>
      <c r="J951" s="79" t="s">
        <v>1028</v>
      </c>
      <c r="K951" s="79" t="s">
        <v>707</v>
      </c>
      <c r="L951" s="79" t="s">
        <v>1029</v>
      </c>
      <c r="Y951" s="79" t="s">
        <v>900</v>
      </c>
    </row>
    <row r="952" spans="1:25" ht="12.75" customHeight="1" x14ac:dyDescent="0.2">
      <c r="A952" s="91">
        <f t="shared" si="25"/>
        <v>1</v>
      </c>
      <c r="B952" s="79" t="s">
        <v>1026</v>
      </c>
      <c r="C952" s="79" t="s">
        <v>1026</v>
      </c>
      <c r="D952" s="79" t="s">
        <v>2586</v>
      </c>
      <c r="E952" s="55" t="s">
        <v>3307</v>
      </c>
      <c r="F952" s="79" t="s">
        <v>2586</v>
      </c>
      <c r="G952" s="79" t="s">
        <v>1027</v>
      </c>
      <c r="H952" s="79" t="s">
        <v>2772</v>
      </c>
      <c r="I952" s="79" t="s">
        <v>2788</v>
      </c>
      <c r="J952" s="79" t="s">
        <v>1028</v>
      </c>
      <c r="K952" s="79" t="s">
        <v>707</v>
      </c>
      <c r="L952" s="79" t="s">
        <v>1029</v>
      </c>
      <c r="Y952" s="79" t="s">
        <v>882</v>
      </c>
    </row>
    <row r="953" spans="1:25" ht="12.75" customHeight="1" x14ac:dyDescent="0.2">
      <c r="A953" s="91">
        <f t="shared" si="25"/>
        <v>1</v>
      </c>
      <c r="B953" s="79" t="s">
        <v>2148</v>
      </c>
      <c r="C953" s="79" t="s">
        <v>2148</v>
      </c>
      <c r="D953" s="79" t="s">
        <v>2147</v>
      </c>
      <c r="E953" s="55" t="s">
        <v>3308</v>
      </c>
      <c r="F953" s="79" t="s">
        <v>2147</v>
      </c>
      <c r="G953" s="79" t="s">
        <v>2149</v>
      </c>
      <c r="H953" s="79" t="s">
        <v>2780</v>
      </c>
      <c r="I953" s="79" t="s">
        <v>2823</v>
      </c>
      <c r="J953" s="79" t="s">
        <v>2150</v>
      </c>
      <c r="K953" s="79" t="s">
        <v>707</v>
      </c>
      <c r="L953" s="79" t="s">
        <v>2151</v>
      </c>
      <c r="Y953" s="79" t="s">
        <v>880</v>
      </c>
    </row>
    <row r="954" spans="1:25" ht="12.75" customHeight="1" x14ac:dyDescent="0.2">
      <c r="A954" s="91">
        <f t="shared" si="25"/>
        <v>1</v>
      </c>
      <c r="B954" s="79" t="s">
        <v>2153</v>
      </c>
      <c r="C954" s="79" t="s">
        <v>2153</v>
      </c>
      <c r="D954" s="79" t="s">
        <v>2152</v>
      </c>
      <c r="E954" s="55" t="s">
        <v>3196</v>
      </c>
      <c r="F954" s="79" t="s">
        <v>2152</v>
      </c>
      <c r="G954" s="79" t="s">
        <v>2024</v>
      </c>
      <c r="H954" s="79" t="s">
        <v>2770</v>
      </c>
      <c r="I954" s="79" t="s">
        <v>2771</v>
      </c>
      <c r="J954" s="79" t="s">
        <v>2025</v>
      </c>
      <c r="K954" s="79" t="s">
        <v>707</v>
      </c>
      <c r="L954" s="79" t="s">
        <v>2026</v>
      </c>
      <c r="Y954" s="79" t="s">
        <v>873</v>
      </c>
    </row>
    <row r="955" spans="1:25" ht="12.75" customHeight="1" x14ac:dyDescent="0.2">
      <c r="A955" s="91">
        <f t="shared" si="25"/>
        <v>1</v>
      </c>
      <c r="B955" s="79" t="s">
        <v>862</v>
      </c>
      <c r="C955" s="79" t="s">
        <v>862</v>
      </c>
      <c r="D955" s="79" t="s">
        <v>861</v>
      </c>
      <c r="E955" s="55" t="s">
        <v>3309</v>
      </c>
      <c r="F955" s="79" t="s">
        <v>861</v>
      </c>
      <c r="G955" s="79" t="s">
        <v>863</v>
      </c>
      <c r="H955" s="79" t="s">
        <v>2804</v>
      </c>
      <c r="I955" s="79" t="s">
        <v>2764</v>
      </c>
      <c r="J955" s="79" t="s">
        <v>864</v>
      </c>
      <c r="K955" s="79" t="s">
        <v>723</v>
      </c>
      <c r="L955" s="79" t="s">
        <v>865</v>
      </c>
      <c r="Y955" s="79" t="s">
        <v>875</v>
      </c>
    </row>
    <row r="956" spans="1:25" ht="12.75" customHeight="1" x14ac:dyDescent="0.2">
      <c r="A956" s="91">
        <f t="shared" si="25"/>
        <v>1</v>
      </c>
      <c r="B956" s="79" t="s">
        <v>2203</v>
      </c>
      <c r="C956" s="79" t="s">
        <v>2203</v>
      </c>
      <c r="D956" s="79" t="s">
        <v>2202</v>
      </c>
      <c r="E956" s="55" t="s">
        <v>3310</v>
      </c>
      <c r="F956" s="79" t="s">
        <v>2202</v>
      </c>
      <c r="G956" s="79" t="s">
        <v>2204</v>
      </c>
      <c r="H956" s="79" t="s">
        <v>2782</v>
      </c>
      <c r="I956" s="79" t="s">
        <v>2764</v>
      </c>
      <c r="J956" s="79" t="s">
        <v>2205</v>
      </c>
      <c r="K956" s="79" t="s">
        <v>1489</v>
      </c>
      <c r="L956" s="79" t="s">
        <v>2206</v>
      </c>
      <c r="Y956" s="79" t="s">
        <v>878</v>
      </c>
    </row>
    <row r="957" spans="1:25" ht="12.75" customHeight="1" x14ac:dyDescent="0.2">
      <c r="A957" s="91">
        <f t="shared" si="25"/>
        <v>1</v>
      </c>
      <c r="B957" s="79" t="s">
        <v>1957</v>
      </c>
      <c r="C957" s="79" t="s">
        <v>1957</v>
      </c>
      <c r="D957" s="79" t="s">
        <v>1956</v>
      </c>
      <c r="E957" s="55" t="s">
        <v>3311</v>
      </c>
      <c r="F957" s="79" t="s">
        <v>1956</v>
      </c>
      <c r="G957" s="79" t="s">
        <v>1958</v>
      </c>
      <c r="H957" s="79" t="s">
        <v>2770</v>
      </c>
      <c r="I957" s="79" t="s">
        <v>2824</v>
      </c>
      <c r="J957" s="79" t="s">
        <v>1959</v>
      </c>
      <c r="K957" s="79" t="s">
        <v>707</v>
      </c>
      <c r="L957" s="79" t="s">
        <v>1960</v>
      </c>
      <c r="Y957" s="79" t="s">
        <v>907</v>
      </c>
    </row>
    <row r="958" spans="1:25" ht="12.75" customHeight="1" x14ac:dyDescent="0.2">
      <c r="A958" s="91">
        <f t="shared" si="25"/>
        <v>1</v>
      </c>
      <c r="B958" s="79" t="s">
        <v>2208</v>
      </c>
      <c r="C958" s="79" t="s">
        <v>2208</v>
      </c>
      <c r="D958" s="79" t="s">
        <v>2207</v>
      </c>
      <c r="E958" s="55" t="s">
        <v>3312</v>
      </c>
      <c r="F958" s="79" t="s">
        <v>2207</v>
      </c>
      <c r="G958" s="79" t="s">
        <v>2209</v>
      </c>
      <c r="H958" s="79" t="s">
        <v>2782</v>
      </c>
      <c r="I958" s="79" t="s">
        <v>2825</v>
      </c>
      <c r="J958" s="79" t="s">
        <v>2210</v>
      </c>
      <c r="K958" s="79" t="s">
        <v>707</v>
      </c>
      <c r="L958" s="79" t="s">
        <v>2211</v>
      </c>
      <c r="Y958" s="79" t="s">
        <v>1656</v>
      </c>
    </row>
    <row r="959" spans="1:25" ht="12.75" customHeight="1" x14ac:dyDescent="0.2">
      <c r="A959" s="91">
        <f t="shared" ref="A959:A1022" si="26">IF(B959=B260,1,"CHECK")</f>
        <v>1</v>
      </c>
      <c r="B959" s="79" t="s">
        <v>2217</v>
      </c>
      <c r="C959" s="79" t="s">
        <v>2217</v>
      </c>
      <c r="D959" s="79" t="s">
        <v>2216</v>
      </c>
      <c r="E959" s="55" t="s">
        <v>3208</v>
      </c>
      <c r="F959" s="79" t="s">
        <v>2216</v>
      </c>
      <c r="G959" s="79" t="s">
        <v>1913</v>
      </c>
      <c r="H959" s="79" t="s">
        <v>2782</v>
      </c>
      <c r="I959" s="79" t="s">
        <v>2764</v>
      </c>
      <c r="J959" s="79" t="s">
        <v>1914</v>
      </c>
      <c r="K959" s="79" t="s">
        <v>1489</v>
      </c>
      <c r="L959" s="79" t="s">
        <v>1915</v>
      </c>
      <c r="Y959" s="79" t="s">
        <v>1615</v>
      </c>
    </row>
    <row r="960" spans="1:25" ht="12.75" customHeight="1" x14ac:dyDescent="0.2">
      <c r="A960" s="91">
        <f t="shared" si="26"/>
        <v>1</v>
      </c>
      <c r="B960" s="79" t="s">
        <v>2213</v>
      </c>
      <c r="C960" s="79" t="s">
        <v>2213</v>
      </c>
      <c r="D960" s="79" t="s">
        <v>2212</v>
      </c>
      <c r="E960" s="55" t="s">
        <v>3210</v>
      </c>
      <c r="F960" s="79" t="s">
        <v>2212</v>
      </c>
      <c r="G960" s="79" t="s">
        <v>1900</v>
      </c>
      <c r="H960" s="79" t="s">
        <v>2782</v>
      </c>
      <c r="I960" s="79" t="s">
        <v>2764</v>
      </c>
      <c r="J960" s="79" t="s">
        <v>1901</v>
      </c>
      <c r="K960" s="79" t="s">
        <v>1489</v>
      </c>
      <c r="L960" s="79" t="s">
        <v>1902</v>
      </c>
      <c r="Y960" s="79" t="s">
        <v>1624</v>
      </c>
    </row>
    <row r="961" spans="1:25" ht="12.75" customHeight="1" x14ac:dyDescent="0.2">
      <c r="A961" s="91">
        <f t="shared" si="26"/>
        <v>1</v>
      </c>
      <c r="B961" s="79" t="s">
        <v>2215</v>
      </c>
      <c r="C961" s="79" t="s">
        <v>2215</v>
      </c>
      <c r="D961" s="79" t="s">
        <v>2214</v>
      </c>
      <c r="E961" s="55" t="s">
        <v>3209</v>
      </c>
      <c r="F961" s="79" t="s">
        <v>2214</v>
      </c>
      <c r="G961" s="79" t="s">
        <v>1908</v>
      </c>
      <c r="H961" s="79" t="s">
        <v>2782</v>
      </c>
      <c r="I961" s="79" t="s">
        <v>2764</v>
      </c>
      <c r="J961" s="79" t="s">
        <v>1909</v>
      </c>
      <c r="K961" s="79" t="s">
        <v>1489</v>
      </c>
      <c r="L961" s="79" t="s">
        <v>1910</v>
      </c>
      <c r="Y961" s="79" t="s">
        <v>1620</v>
      </c>
    </row>
    <row r="962" spans="1:25" ht="12.75" customHeight="1" x14ac:dyDescent="0.2">
      <c r="A962" s="91">
        <f t="shared" si="26"/>
        <v>1</v>
      </c>
      <c r="B962" s="79" t="s">
        <v>2337</v>
      </c>
      <c r="C962" s="79" t="s">
        <v>2337</v>
      </c>
      <c r="D962" s="79" t="s">
        <v>2336</v>
      </c>
      <c r="E962" s="55" t="s">
        <v>3208</v>
      </c>
      <c r="F962" s="79" t="s">
        <v>2336</v>
      </c>
      <c r="G962" s="79" t="s">
        <v>1913</v>
      </c>
      <c r="H962" s="79" t="s">
        <v>2782</v>
      </c>
      <c r="I962" s="79" t="s">
        <v>2764</v>
      </c>
      <c r="J962" s="79" t="s">
        <v>1914</v>
      </c>
      <c r="K962" s="79" t="s">
        <v>1489</v>
      </c>
      <c r="L962" s="79" t="s">
        <v>1915</v>
      </c>
      <c r="Y962" s="79" t="s">
        <v>1622</v>
      </c>
    </row>
    <row r="963" spans="1:25" ht="12.75" customHeight="1" x14ac:dyDescent="0.2">
      <c r="A963" s="91">
        <f t="shared" si="26"/>
        <v>1</v>
      </c>
      <c r="B963" s="79" t="s">
        <v>2335</v>
      </c>
      <c r="C963" s="79" t="s">
        <v>2335</v>
      </c>
      <c r="D963" s="79" t="s">
        <v>2334</v>
      </c>
      <c r="E963" s="55" t="s">
        <v>3209</v>
      </c>
      <c r="F963" s="79" t="s">
        <v>2334</v>
      </c>
      <c r="G963" s="79" t="s">
        <v>1908</v>
      </c>
      <c r="H963" s="79" t="s">
        <v>2782</v>
      </c>
      <c r="I963" s="79" t="s">
        <v>2764</v>
      </c>
      <c r="J963" s="79" t="s">
        <v>1909</v>
      </c>
      <c r="K963" s="79" t="s">
        <v>1489</v>
      </c>
      <c r="L963" s="79" t="s">
        <v>1910</v>
      </c>
      <c r="Y963" s="79" t="s">
        <v>797</v>
      </c>
    </row>
    <row r="964" spans="1:25" ht="12.75" customHeight="1" x14ac:dyDescent="0.2">
      <c r="A964" s="91">
        <f t="shared" si="26"/>
        <v>1</v>
      </c>
      <c r="B964" s="79" t="s">
        <v>2328</v>
      </c>
      <c r="C964" s="79" t="s">
        <v>2328</v>
      </c>
      <c r="D964" s="79" t="s">
        <v>2327</v>
      </c>
      <c r="E964" s="55" t="s">
        <v>3313</v>
      </c>
      <c r="F964" s="79" t="s">
        <v>2327</v>
      </c>
      <c r="G964" s="79" t="s">
        <v>3126</v>
      </c>
      <c r="H964" s="79" t="s">
        <v>2782</v>
      </c>
      <c r="I964" s="79" t="s">
        <v>2764</v>
      </c>
      <c r="J964" s="79" t="s">
        <v>2330</v>
      </c>
      <c r="K964" s="79" t="s">
        <v>1489</v>
      </c>
      <c r="L964" s="79" t="s">
        <v>2331</v>
      </c>
      <c r="Y964" s="79" t="s">
        <v>760</v>
      </c>
    </row>
    <row r="965" spans="1:25" ht="12.75" customHeight="1" x14ac:dyDescent="0.2">
      <c r="A965" s="91">
        <f t="shared" si="26"/>
        <v>1</v>
      </c>
      <c r="B965" s="79" t="s">
        <v>2333</v>
      </c>
      <c r="C965" s="79" t="s">
        <v>2333</v>
      </c>
      <c r="D965" s="79" t="s">
        <v>2332</v>
      </c>
      <c r="E965" s="55" t="s">
        <v>3210</v>
      </c>
      <c r="F965" s="79" t="s">
        <v>2332</v>
      </c>
      <c r="G965" s="79" t="s">
        <v>1900</v>
      </c>
      <c r="H965" s="79" t="s">
        <v>2782</v>
      </c>
      <c r="I965" s="79" t="s">
        <v>2764</v>
      </c>
      <c r="J965" s="79" t="s">
        <v>1901</v>
      </c>
      <c r="K965" s="79" t="s">
        <v>1489</v>
      </c>
      <c r="L965" s="79" t="s">
        <v>1902</v>
      </c>
      <c r="Y965" s="79" t="s">
        <v>770</v>
      </c>
    </row>
    <row r="966" spans="1:25" ht="12.75" customHeight="1" x14ac:dyDescent="0.2">
      <c r="A966" s="91">
        <f t="shared" si="26"/>
        <v>1</v>
      </c>
      <c r="B966" s="79" t="s">
        <v>1892</v>
      </c>
      <c r="C966" s="79" t="s">
        <v>1892</v>
      </c>
      <c r="D966" s="79" t="s">
        <v>1891</v>
      </c>
      <c r="E966" s="55" t="s">
        <v>3314</v>
      </c>
      <c r="F966" s="79" t="s">
        <v>1891</v>
      </c>
      <c r="G966" s="79" t="s">
        <v>1893</v>
      </c>
      <c r="H966" s="79" t="s">
        <v>2770</v>
      </c>
      <c r="I966" s="79" t="s">
        <v>2826</v>
      </c>
      <c r="J966" s="79" t="s">
        <v>1894</v>
      </c>
      <c r="K966" s="79" t="s">
        <v>707</v>
      </c>
      <c r="L966" s="79" t="s">
        <v>1895</v>
      </c>
      <c r="Y966" s="79" t="s">
        <v>772</v>
      </c>
    </row>
    <row r="967" spans="1:25" ht="12.75" customHeight="1" x14ac:dyDescent="0.2">
      <c r="A967" s="91">
        <f t="shared" si="26"/>
        <v>1</v>
      </c>
      <c r="B967" s="79" t="s">
        <v>2054</v>
      </c>
      <c r="C967" s="79" t="s">
        <v>2054</v>
      </c>
      <c r="D967" s="79" t="s">
        <v>2053</v>
      </c>
      <c r="E967" s="55" t="s">
        <v>3315</v>
      </c>
      <c r="F967" s="79" t="s">
        <v>2053</v>
      </c>
      <c r="G967" s="79" t="s">
        <v>2055</v>
      </c>
      <c r="H967" s="79" t="s">
        <v>2770</v>
      </c>
      <c r="I967" s="79" t="s">
        <v>2826</v>
      </c>
      <c r="J967" s="79" t="s">
        <v>2056</v>
      </c>
      <c r="K967" s="79" t="s">
        <v>707</v>
      </c>
      <c r="L967" s="79" t="s">
        <v>2057</v>
      </c>
      <c r="Y967" s="79" t="s">
        <v>765</v>
      </c>
    </row>
    <row r="968" spans="1:25" ht="12.75" customHeight="1" x14ac:dyDescent="0.2">
      <c r="A968" s="91">
        <f t="shared" si="26"/>
        <v>1</v>
      </c>
      <c r="B968" s="79" t="s">
        <v>1688</v>
      </c>
      <c r="C968" s="79" t="s">
        <v>1688</v>
      </c>
      <c r="D968" s="79" t="s">
        <v>1687</v>
      </c>
      <c r="E968" s="55" t="s">
        <v>3316</v>
      </c>
      <c r="F968" s="79" t="s">
        <v>1687</v>
      </c>
      <c r="G968" s="79" t="s">
        <v>1689</v>
      </c>
      <c r="H968" s="79" t="s">
        <v>2775</v>
      </c>
      <c r="I968" s="79" t="s">
        <v>2778</v>
      </c>
      <c r="J968" s="79" t="s">
        <v>1690</v>
      </c>
      <c r="K968" s="79" t="s">
        <v>707</v>
      </c>
      <c r="L968" s="79" t="s">
        <v>1691</v>
      </c>
      <c r="Y968" s="79" t="s">
        <v>1677</v>
      </c>
    </row>
    <row r="969" spans="1:25" ht="12.75" customHeight="1" x14ac:dyDescent="0.2">
      <c r="A969" s="91">
        <f t="shared" si="26"/>
        <v>1</v>
      </c>
      <c r="B969" s="79" t="s">
        <v>1795</v>
      </c>
      <c r="C969" s="79" t="s">
        <v>1795</v>
      </c>
      <c r="D969" s="79" t="s">
        <v>1794</v>
      </c>
      <c r="E969" s="55" t="s">
        <v>3317</v>
      </c>
      <c r="F969" s="79" t="s">
        <v>1794</v>
      </c>
      <c r="G969" s="79" t="s">
        <v>1796</v>
      </c>
      <c r="H969" s="79" t="s">
        <v>2770</v>
      </c>
      <c r="I969" s="79" t="s">
        <v>2827</v>
      </c>
      <c r="J969" s="79" t="s">
        <v>1797</v>
      </c>
      <c r="K969" s="79" t="s">
        <v>707</v>
      </c>
      <c r="L969" s="79" t="s">
        <v>1798</v>
      </c>
      <c r="Y969" s="79" t="s">
        <v>777</v>
      </c>
    </row>
    <row r="970" spans="1:25" ht="12.75" customHeight="1" x14ac:dyDescent="0.2">
      <c r="A970" s="91">
        <f t="shared" si="26"/>
        <v>1</v>
      </c>
      <c r="B970" s="79" t="s">
        <v>1795</v>
      </c>
      <c r="C970" s="79" t="s">
        <v>1795</v>
      </c>
      <c r="D970" s="79" t="s">
        <v>2711</v>
      </c>
      <c r="E970" s="55" t="s">
        <v>3317</v>
      </c>
      <c r="F970" s="79" t="s">
        <v>2711</v>
      </c>
      <c r="G970" s="79" t="s">
        <v>1796</v>
      </c>
      <c r="H970" s="79" t="s">
        <v>2770</v>
      </c>
      <c r="I970" s="79" t="s">
        <v>2827</v>
      </c>
      <c r="J970" s="79" t="s">
        <v>1797</v>
      </c>
      <c r="K970" s="79" t="s">
        <v>707</v>
      </c>
      <c r="L970" s="79" t="s">
        <v>1798</v>
      </c>
      <c r="Y970" s="79" t="s">
        <v>2407</v>
      </c>
    </row>
    <row r="971" spans="1:25" ht="12.75" customHeight="1" x14ac:dyDescent="0.2">
      <c r="A971" s="91">
        <f t="shared" si="26"/>
        <v>1</v>
      </c>
      <c r="B971" s="79" t="s">
        <v>1800</v>
      </c>
      <c r="C971" s="79" t="s">
        <v>1800</v>
      </c>
      <c r="D971" s="79" t="s">
        <v>1799</v>
      </c>
      <c r="E971" s="55" t="s">
        <v>3318</v>
      </c>
      <c r="F971" s="79" t="s">
        <v>1799</v>
      </c>
      <c r="G971" s="79" t="s">
        <v>1801</v>
      </c>
      <c r="H971" s="79" t="s">
        <v>2770</v>
      </c>
      <c r="I971" s="79" t="s">
        <v>2828</v>
      </c>
      <c r="J971" s="79" t="s">
        <v>1802</v>
      </c>
      <c r="K971" s="79" t="s">
        <v>707</v>
      </c>
      <c r="L971" s="79" t="s">
        <v>1803</v>
      </c>
      <c r="Y971" s="79" t="s">
        <v>2409</v>
      </c>
    </row>
    <row r="972" spans="1:25" ht="12.75" customHeight="1" x14ac:dyDescent="0.2">
      <c r="A972" s="91">
        <f t="shared" si="26"/>
        <v>1</v>
      </c>
      <c r="B972" s="79" t="s">
        <v>1810</v>
      </c>
      <c r="C972" s="79" t="s">
        <v>1810</v>
      </c>
      <c r="D972" s="79" t="s">
        <v>1809</v>
      </c>
      <c r="E972" s="55" t="s">
        <v>3319</v>
      </c>
      <c r="F972" s="79" t="s">
        <v>1809</v>
      </c>
      <c r="G972" s="79" t="s">
        <v>1811</v>
      </c>
      <c r="H972" s="79" t="s">
        <v>2770</v>
      </c>
      <c r="I972" s="79" t="s">
        <v>2827</v>
      </c>
      <c r="J972" s="79" t="s">
        <v>1812</v>
      </c>
      <c r="K972" s="79" t="s">
        <v>707</v>
      </c>
      <c r="L972" s="79" t="s">
        <v>1813</v>
      </c>
      <c r="Y972" s="79" t="s">
        <v>2415</v>
      </c>
    </row>
    <row r="973" spans="1:25" ht="12.75" customHeight="1" x14ac:dyDescent="0.2">
      <c r="A973" s="91">
        <f t="shared" si="26"/>
        <v>1</v>
      </c>
      <c r="B973" s="79" t="s">
        <v>2041</v>
      </c>
      <c r="C973" s="79" t="s">
        <v>2041</v>
      </c>
      <c r="D973" s="79" t="s">
        <v>2040</v>
      </c>
      <c r="E973" s="55" t="s">
        <v>3320</v>
      </c>
      <c r="F973" s="79" t="s">
        <v>2040</v>
      </c>
      <c r="G973" s="79" t="s">
        <v>2042</v>
      </c>
      <c r="H973" s="79" t="s">
        <v>2770</v>
      </c>
      <c r="I973" s="79" t="s">
        <v>1920</v>
      </c>
      <c r="J973" s="79" t="s">
        <v>1303</v>
      </c>
      <c r="K973" s="79" t="s">
        <v>1920</v>
      </c>
      <c r="L973" s="79" t="s">
        <v>1952</v>
      </c>
      <c r="Y973" s="79" t="s">
        <v>2412</v>
      </c>
    </row>
    <row r="974" spans="1:25" ht="12.75" customHeight="1" x14ac:dyDescent="0.2">
      <c r="A974" s="91">
        <f t="shared" si="26"/>
        <v>1</v>
      </c>
      <c r="B974" s="79" t="s">
        <v>1693</v>
      </c>
      <c r="C974" s="79" t="s">
        <v>1693</v>
      </c>
      <c r="D974" s="79" t="s">
        <v>1692</v>
      </c>
      <c r="E974" s="55" t="s">
        <v>3321</v>
      </c>
      <c r="F974" s="79" t="s">
        <v>1692</v>
      </c>
      <c r="G974" s="79" t="s">
        <v>1694</v>
      </c>
      <c r="H974" s="79" t="s">
        <v>2775</v>
      </c>
      <c r="I974" s="79" t="s">
        <v>2777</v>
      </c>
      <c r="J974" s="79" t="s">
        <v>1695</v>
      </c>
      <c r="K974" s="79" t="s">
        <v>707</v>
      </c>
      <c r="L974" s="79" t="s">
        <v>1696</v>
      </c>
      <c r="Y974" s="79" t="s">
        <v>2404</v>
      </c>
    </row>
    <row r="975" spans="1:25" ht="12.75" customHeight="1" x14ac:dyDescent="0.2">
      <c r="A975" s="91">
        <f t="shared" si="26"/>
        <v>1</v>
      </c>
      <c r="B975" s="79" t="s">
        <v>1825</v>
      </c>
      <c r="C975" s="79" t="s">
        <v>1825</v>
      </c>
      <c r="D975" s="79" t="s">
        <v>1824</v>
      </c>
      <c r="E975" s="55" t="s">
        <v>3322</v>
      </c>
      <c r="F975" s="79" t="s">
        <v>1824</v>
      </c>
      <c r="G975" s="79" t="s">
        <v>1826</v>
      </c>
      <c r="H975" s="79" t="s">
        <v>2770</v>
      </c>
      <c r="I975" s="79" t="s">
        <v>2827</v>
      </c>
      <c r="J975" s="79" t="s">
        <v>1827</v>
      </c>
      <c r="K975" s="79" t="s">
        <v>707</v>
      </c>
      <c r="L975" s="79" t="s">
        <v>1798</v>
      </c>
      <c r="Y975" s="79" t="s">
        <v>1636</v>
      </c>
    </row>
    <row r="976" spans="1:25" ht="12.75" customHeight="1" x14ac:dyDescent="0.2">
      <c r="A976" s="91">
        <f t="shared" si="26"/>
        <v>1</v>
      </c>
      <c r="B976" s="79" t="s">
        <v>1865</v>
      </c>
      <c r="C976" s="79" t="s">
        <v>1865</v>
      </c>
      <c r="D976" s="79" t="s">
        <v>1864</v>
      </c>
      <c r="E976" s="55" t="s">
        <v>3323</v>
      </c>
      <c r="F976" s="79" t="s">
        <v>1864</v>
      </c>
      <c r="G976" s="79" t="s">
        <v>1866</v>
      </c>
      <c r="H976" s="79" t="s">
        <v>2770</v>
      </c>
      <c r="I976" s="79" t="s">
        <v>2827</v>
      </c>
      <c r="J976" s="79" t="s">
        <v>1867</v>
      </c>
      <c r="K976" s="79" t="s">
        <v>707</v>
      </c>
      <c r="L976" s="79" t="s">
        <v>1868</v>
      </c>
      <c r="Y976" s="79" t="s">
        <v>782</v>
      </c>
    </row>
    <row r="977" spans="1:25" ht="12.75" customHeight="1" x14ac:dyDescent="0.2">
      <c r="A977" s="91">
        <f t="shared" si="26"/>
        <v>1</v>
      </c>
      <c r="B977" s="79" t="s">
        <v>1698</v>
      </c>
      <c r="C977" s="79" t="s">
        <v>1698</v>
      </c>
      <c r="D977" s="79" t="s">
        <v>1697</v>
      </c>
      <c r="E977" s="55" t="s">
        <v>3324</v>
      </c>
      <c r="F977" s="79" t="s">
        <v>1697</v>
      </c>
      <c r="G977" s="79" t="s">
        <v>1699</v>
      </c>
      <c r="H977" s="79" t="s">
        <v>2775</v>
      </c>
      <c r="I977" s="79" t="s">
        <v>2779</v>
      </c>
      <c r="J977" s="79" t="s">
        <v>1700</v>
      </c>
      <c r="K977" s="79" t="s">
        <v>707</v>
      </c>
      <c r="L977" s="79" t="s">
        <v>1701</v>
      </c>
      <c r="Y977" s="79" t="s">
        <v>866</v>
      </c>
    </row>
    <row r="978" spans="1:25" ht="12.75" customHeight="1" x14ac:dyDescent="0.2">
      <c r="A978" s="91">
        <f t="shared" si="26"/>
        <v>1</v>
      </c>
      <c r="B978" s="79" t="s">
        <v>1003</v>
      </c>
      <c r="C978" s="79" t="s">
        <v>1003</v>
      </c>
      <c r="D978" s="79" t="s">
        <v>1002</v>
      </c>
      <c r="E978" s="55" t="s">
        <v>3236</v>
      </c>
      <c r="F978" s="79" t="s">
        <v>1002</v>
      </c>
      <c r="G978" s="79" t="s">
        <v>821</v>
      </c>
      <c r="H978" s="79" t="s">
        <v>2762</v>
      </c>
      <c r="I978" s="79" t="s">
        <v>2774</v>
      </c>
      <c r="J978" s="79" t="s">
        <v>822</v>
      </c>
      <c r="K978" s="79" t="s">
        <v>707</v>
      </c>
      <c r="L978" s="79" t="s">
        <v>823</v>
      </c>
      <c r="Y978" s="79" t="s">
        <v>2455</v>
      </c>
    </row>
    <row r="979" spans="1:25" ht="12.75" customHeight="1" x14ac:dyDescent="0.2">
      <c r="A979" s="91">
        <f t="shared" si="26"/>
        <v>1</v>
      </c>
      <c r="B979" s="79" t="s">
        <v>996</v>
      </c>
      <c r="C979" s="79" t="s">
        <v>996</v>
      </c>
      <c r="D979" s="79" t="s">
        <v>995</v>
      </c>
      <c r="E979" s="55" t="s">
        <v>3247</v>
      </c>
      <c r="F979" s="79" t="s">
        <v>995</v>
      </c>
      <c r="G979" s="79" t="s">
        <v>997</v>
      </c>
      <c r="H979" s="79" t="s">
        <v>2762</v>
      </c>
      <c r="I979" s="79" t="s">
        <v>2763</v>
      </c>
      <c r="J979" s="79" t="s">
        <v>998</v>
      </c>
      <c r="K979" s="79" t="s">
        <v>707</v>
      </c>
      <c r="L979" s="79" t="s">
        <v>999</v>
      </c>
      <c r="Y979" s="79" t="s">
        <v>2453</v>
      </c>
    </row>
    <row r="980" spans="1:25" ht="12.75" customHeight="1" x14ac:dyDescent="0.2">
      <c r="A980" s="91">
        <f t="shared" si="26"/>
        <v>1</v>
      </c>
      <c r="B980" s="79" t="s">
        <v>1005</v>
      </c>
      <c r="C980" s="79" t="s">
        <v>1005</v>
      </c>
      <c r="D980" s="79" t="s">
        <v>1004</v>
      </c>
      <c r="E980" s="55" t="s">
        <v>3190</v>
      </c>
      <c r="F980" s="79" t="s">
        <v>1004</v>
      </c>
      <c r="G980" s="79" t="s">
        <v>842</v>
      </c>
      <c r="H980" s="79" t="s">
        <v>2759</v>
      </c>
      <c r="I980" s="79" t="s">
        <v>2760</v>
      </c>
      <c r="J980" s="79" t="s">
        <v>843</v>
      </c>
      <c r="K980" s="79" t="s">
        <v>707</v>
      </c>
      <c r="L980" s="79" t="s">
        <v>844</v>
      </c>
      <c r="Y980" s="79" t="s">
        <v>2459</v>
      </c>
    </row>
    <row r="981" spans="1:25" ht="12.75" customHeight="1" x14ac:dyDescent="0.2">
      <c r="A981" s="91">
        <f t="shared" si="26"/>
        <v>1</v>
      </c>
      <c r="B981" s="79" t="s">
        <v>1001</v>
      </c>
      <c r="C981" s="79" t="s">
        <v>1001</v>
      </c>
      <c r="D981" s="79" t="s">
        <v>1000</v>
      </c>
      <c r="E981" s="55" t="s">
        <v>3189</v>
      </c>
      <c r="F981" s="79" t="s">
        <v>1000</v>
      </c>
      <c r="G981" s="79" t="s">
        <v>816</v>
      </c>
      <c r="H981" s="79" t="s">
        <v>2762</v>
      </c>
      <c r="I981" s="79" t="s">
        <v>2766</v>
      </c>
      <c r="J981" s="79" t="s">
        <v>817</v>
      </c>
      <c r="K981" s="79" t="s">
        <v>707</v>
      </c>
      <c r="L981" s="79" t="s">
        <v>818</v>
      </c>
      <c r="Y981" s="79" t="s">
        <v>2450</v>
      </c>
    </row>
    <row r="982" spans="1:25" ht="12.75" customHeight="1" x14ac:dyDescent="0.2">
      <c r="A982" s="91">
        <f t="shared" si="26"/>
        <v>1</v>
      </c>
      <c r="B982" s="79" t="s">
        <v>1820</v>
      </c>
      <c r="C982" s="79" t="s">
        <v>1820</v>
      </c>
      <c r="D982" s="79" t="s">
        <v>1819</v>
      </c>
      <c r="E982" s="55" t="s">
        <v>3325</v>
      </c>
      <c r="F982" s="79" t="s">
        <v>1819</v>
      </c>
      <c r="G982" s="79" t="s">
        <v>1821</v>
      </c>
      <c r="H982" s="79" t="s">
        <v>2770</v>
      </c>
      <c r="I982" s="79" t="s">
        <v>2826</v>
      </c>
      <c r="J982" s="79" t="s">
        <v>1822</v>
      </c>
      <c r="K982" s="79" t="s">
        <v>707</v>
      </c>
      <c r="L982" s="79" t="s">
        <v>1823</v>
      </c>
      <c r="Y982" s="79" t="s">
        <v>2457</v>
      </c>
    </row>
    <row r="983" spans="1:25" ht="12.75" customHeight="1" x14ac:dyDescent="0.2">
      <c r="A983" s="91">
        <f t="shared" si="26"/>
        <v>1</v>
      </c>
      <c r="B983" s="79" t="s">
        <v>1237</v>
      </c>
      <c r="C983" s="79" t="s">
        <v>1237</v>
      </c>
      <c r="D983" s="79" t="s">
        <v>1236</v>
      </c>
      <c r="E983" s="55" t="s">
        <v>3326</v>
      </c>
      <c r="F983" s="79" t="s">
        <v>1236</v>
      </c>
      <c r="G983" s="79" t="s">
        <v>1238</v>
      </c>
      <c r="H983" s="79" t="s">
        <v>2767</v>
      </c>
      <c r="I983" s="79" t="s">
        <v>2829</v>
      </c>
      <c r="J983" s="79" t="s">
        <v>1239</v>
      </c>
      <c r="K983" s="79" t="s">
        <v>707</v>
      </c>
      <c r="L983" s="79" t="s">
        <v>1240</v>
      </c>
      <c r="Y983" s="79" t="s">
        <v>1755</v>
      </c>
    </row>
    <row r="984" spans="1:25" ht="12.75" customHeight="1" x14ac:dyDescent="0.2">
      <c r="A984" s="91">
        <f t="shared" si="26"/>
        <v>1</v>
      </c>
      <c r="B984" s="79" t="s">
        <v>1237</v>
      </c>
      <c r="C984" s="79" t="s">
        <v>1237</v>
      </c>
      <c r="D984" s="79" t="s">
        <v>2662</v>
      </c>
      <c r="E984" s="55" t="s">
        <v>3326</v>
      </c>
      <c r="F984" s="79" t="s">
        <v>2662</v>
      </c>
      <c r="G984" s="79" t="s">
        <v>1238</v>
      </c>
      <c r="H984" s="79" t="s">
        <v>2767</v>
      </c>
      <c r="I984" s="79" t="s">
        <v>2829</v>
      </c>
      <c r="J984" s="79" t="s">
        <v>1239</v>
      </c>
      <c r="K984" s="79" t="s">
        <v>707</v>
      </c>
      <c r="L984" s="79" t="s">
        <v>1240</v>
      </c>
      <c r="Y984" s="79" t="s">
        <v>1249</v>
      </c>
    </row>
    <row r="985" spans="1:25" ht="12.75" customHeight="1" x14ac:dyDescent="0.2">
      <c r="A985" s="91">
        <f t="shared" si="26"/>
        <v>1</v>
      </c>
      <c r="B985" s="79" t="s">
        <v>1550</v>
      </c>
      <c r="C985" s="79" t="s">
        <v>1550</v>
      </c>
      <c r="D985" s="79" t="s">
        <v>1549</v>
      </c>
      <c r="E985" s="55" t="s">
        <v>3327</v>
      </c>
      <c r="F985" s="79" t="s">
        <v>1549</v>
      </c>
      <c r="G985" s="79" t="s">
        <v>1551</v>
      </c>
      <c r="H985" s="79" t="s">
        <v>2786</v>
      </c>
      <c r="I985" s="79" t="s">
        <v>2830</v>
      </c>
      <c r="J985" s="79" t="s">
        <v>1552</v>
      </c>
      <c r="K985" s="79" t="s">
        <v>707</v>
      </c>
      <c r="L985" s="79" t="s">
        <v>1553</v>
      </c>
      <c r="Y985" s="79" t="s">
        <v>1584</v>
      </c>
    </row>
    <row r="986" spans="1:25" ht="12.75" customHeight="1" x14ac:dyDescent="0.2">
      <c r="A986" s="91">
        <f t="shared" si="26"/>
        <v>1</v>
      </c>
      <c r="B986" s="79" t="s">
        <v>2198</v>
      </c>
      <c r="C986" s="79" t="s">
        <v>2198</v>
      </c>
      <c r="D986" s="79" t="s">
        <v>2197</v>
      </c>
      <c r="E986" s="55" t="s">
        <v>3328</v>
      </c>
      <c r="F986" s="79" t="s">
        <v>2197</v>
      </c>
      <c r="G986" s="79" t="s">
        <v>2199</v>
      </c>
      <c r="H986" s="79" t="s">
        <v>2782</v>
      </c>
      <c r="I986" s="79" t="s">
        <v>2810</v>
      </c>
      <c r="J986" s="79" t="s">
        <v>2200</v>
      </c>
      <c r="K986" s="79" t="s">
        <v>707</v>
      </c>
      <c r="L986" s="79" t="s">
        <v>2201</v>
      </c>
      <c r="Y986" s="79" t="s">
        <v>2370</v>
      </c>
    </row>
    <row r="987" spans="1:25" ht="12.75" customHeight="1" x14ac:dyDescent="0.2">
      <c r="A987" s="91">
        <f t="shared" si="26"/>
        <v>1</v>
      </c>
      <c r="B987" s="79" t="s">
        <v>2198</v>
      </c>
      <c r="C987" s="79" t="s">
        <v>2198</v>
      </c>
      <c r="D987" s="79" t="s">
        <v>2725</v>
      </c>
      <c r="E987" s="55" t="s">
        <v>3328</v>
      </c>
      <c r="F987" s="79" t="s">
        <v>2725</v>
      </c>
      <c r="G987" s="79" t="s">
        <v>2199</v>
      </c>
      <c r="H987" s="79" t="s">
        <v>2782</v>
      </c>
      <c r="I987" s="79" t="s">
        <v>2810</v>
      </c>
      <c r="J987" s="79" t="s">
        <v>2200</v>
      </c>
      <c r="K987" s="79" t="s">
        <v>707</v>
      </c>
      <c r="L987" s="79" t="s">
        <v>2201</v>
      </c>
      <c r="Y987" s="79" t="s">
        <v>1292</v>
      </c>
    </row>
    <row r="988" spans="1:25" ht="12.75" customHeight="1" x14ac:dyDescent="0.2">
      <c r="A988" s="91">
        <f t="shared" si="26"/>
        <v>1</v>
      </c>
      <c r="B988" s="79" t="s">
        <v>2739</v>
      </c>
      <c r="C988" s="79" t="s">
        <v>2739</v>
      </c>
      <c r="D988" s="79" t="s">
        <v>2738</v>
      </c>
      <c r="E988" s="55" t="s">
        <v>3271</v>
      </c>
      <c r="F988" s="79" t="s">
        <v>2738</v>
      </c>
      <c r="G988" s="79" t="s">
        <v>2740</v>
      </c>
      <c r="H988" s="79" t="s">
        <v>2782</v>
      </c>
      <c r="I988" s="79" t="s">
        <v>2810</v>
      </c>
      <c r="J988" s="79" t="s">
        <v>1849</v>
      </c>
      <c r="K988" s="79" t="s">
        <v>707</v>
      </c>
      <c r="L988" s="79" t="s">
        <v>1850</v>
      </c>
      <c r="Y988" s="79" t="s">
        <v>1949</v>
      </c>
    </row>
    <row r="989" spans="1:25" ht="12.75" customHeight="1" x14ac:dyDescent="0.2">
      <c r="A989" s="91">
        <f t="shared" si="26"/>
        <v>1</v>
      </c>
      <c r="B989" s="79" t="s">
        <v>2739</v>
      </c>
      <c r="C989" s="79" t="s">
        <v>2739</v>
      </c>
      <c r="D989" s="79" t="s">
        <v>2743</v>
      </c>
      <c r="E989" s="55" t="s">
        <v>3271</v>
      </c>
      <c r="F989" s="79" t="s">
        <v>2743</v>
      </c>
      <c r="G989" s="79" t="s">
        <v>2744</v>
      </c>
      <c r="H989" s="79" t="s">
        <v>2782</v>
      </c>
      <c r="I989" s="79" t="s">
        <v>2810</v>
      </c>
      <c r="J989" s="79" t="s">
        <v>1849</v>
      </c>
      <c r="K989" s="79" t="s">
        <v>707</v>
      </c>
      <c r="L989" s="79" t="s">
        <v>1850</v>
      </c>
      <c r="Y989" s="79" t="s">
        <v>1856</v>
      </c>
    </row>
    <row r="990" spans="1:25" ht="12.75" customHeight="1" x14ac:dyDescent="0.2">
      <c r="A990" s="91">
        <f t="shared" si="26"/>
        <v>1</v>
      </c>
      <c r="B990" s="79" t="s">
        <v>2742</v>
      </c>
      <c r="C990" s="79" t="s">
        <v>2742</v>
      </c>
      <c r="D990" s="79" t="s">
        <v>2741</v>
      </c>
      <c r="E990" s="55" t="s">
        <v>3329</v>
      </c>
      <c r="F990" s="79" t="s">
        <v>2741</v>
      </c>
      <c r="G990" s="79" t="s">
        <v>2097</v>
      </c>
      <c r="H990" s="79" t="s">
        <v>2786</v>
      </c>
      <c r="I990" s="79" t="s">
        <v>2831</v>
      </c>
      <c r="J990" s="79" t="s">
        <v>1547</v>
      </c>
      <c r="K990" s="79" t="s">
        <v>707</v>
      </c>
      <c r="L990" s="79" t="s">
        <v>1548</v>
      </c>
      <c r="Y990" s="79" t="s">
        <v>2132</v>
      </c>
    </row>
    <row r="991" spans="1:25" ht="12.75" customHeight="1" x14ac:dyDescent="0.2">
      <c r="A991" s="91">
        <f t="shared" si="26"/>
        <v>1</v>
      </c>
      <c r="B991" s="79" t="s">
        <v>1426</v>
      </c>
      <c r="C991" s="79" t="s">
        <v>1426</v>
      </c>
      <c r="D991" s="79" t="s">
        <v>1425</v>
      </c>
      <c r="E991" s="55" t="s">
        <v>3200</v>
      </c>
      <c r="F991" s="79" t="s">
        <v>1425</v>
      </c>
      <c r="G991" s="79" t="s">
        <v>1427</v>
      </c>
      <c r="H991" s="79" t="s">
        <v>2762</v>
      </c>
      <c r="I991" s="79" t="s">
        <v>2774</v>
      </c>
      <c r="J991" s="79" t="s">
        <v>1268</v>
      </c>
      <c r="K991" s="79" t="s">
        <v>707</v>
      </c>
      <c r="L991" s="79" t="s">
        <v>1269</v>
      </c>
      <c r="Y991" s="79" t="s">
        <v>1626</v>
      </c>
    </row>
    <row r="992" spans="1:25" ht="12.75" customHeight="1" x14ac:dyDescent="0.2">
      <c r="A992" s="91">
        <f t="shared" si="26"/>
        <v>1</v>
      </c>
      <c r="B992" s="79" t="s">
        <v>1426</v>
      </c>
      <c r="C992" s="79" t="s">
        <v>1426</v>
      </c>
      <c r="D992" s="79" t="s">
        <v>2669</v>
      </c>
      <c r="E992" s="55" t="s">
        <v>3200</v>
      </c>
      <c r="F992" s="79" t="s">
        <v>2669</v>
      </c>
      <c r="G992" s="79" t="s">
        <v>1427</v>
      </c>
      <c r="H992" s="79" t="s">
        <v>2762</v>
      </c>
      <c r="I992" s="79" t="s">
        <v>2774</v>
      </c>
      <c r="J992" s="79" t="s">
        <v>1268</v>
      </c>
      <c r="K992" s="79" t="s">
        <v>707</v>
      </c>
      <c r="L992" s="79" t="s">
        <v>1269</v>
      </c>
      <c r="Y992" s="79" t="s">
        <v>1674</v>
      </c>
    </row>
    <row r="993" spans="1:25" ht="12.75" customHeight="1" x14ac:dyDescent="0.2">
      <c r="A993" s="91">
        <f t="shared" si="26"/>
        <v>1</v>
      </c>
      <c r="B993" s="79" t="s">
        <v>2104</v>
      </c>
      <c r="C993" s="79" t="s">
        <v>2104</v>
      </c>
      <c r="D993" s="79" t="s">
        <v>2103</v>
      </c>
      <c r="E993" s="55" t="s">
        <v>3330</v>
      </c>
      <c r="F993" s="79" t="s">
        <v>2103</v>
      </c>
      <c r="G993" s="79" t="s">
        <v>2105</v>
      </c>
      <c r="H993" s="79" t="s">
        <v>2780</v>
      </c>
      <c r="I993" s="79" t="s">
        <v>2820</v>
      </c>
      <c r="J993" s="79" t="s">
        <v>2093</v>
      </c>
      <c r="K993" s="79" t="s">
        <v>707</v>
      </c>
      <c r="L993" s="79" t="s">
        <v>2094</v>
      </c>
      <c r="Y993" s="79" t="s">
        <v>1566</v>
      </c>
    </row>
    <row r="994" spans="1:25" ht="12.75" customHeight="1" x14ac:dyDescent="0.2">
      <c r="A994" s="91">
        <f t="shared" si="26"/>
        <v>1</v>
      </c>
      <c r="B994" s="79" t="s">
        <v>2104</v>
      </c>
      <c r="C994" s="79" t="s">
        <v>2104</v>
      </c>
      <c r="D994" s="79" t="s">
        <v>2723</v>
      </c>
      <c r="E994" s="55" t="s">
        <v>3330</v>
      </c>
      <c r="F994" s="79" t="s">
        <v>2723</v>
      </c>
      <c r="G994" s="79" t="s">
        <v>2105</v>
      </c>
      <c r="H994" s="79" t="s">
        <v>2780</v>
      </c>
      <c r="I994" s="79" t="s">
        <v>2820</v>
      </c>
      <c r="J994" s="79" t="s">
        <v>2093</v>
      </c>
      <c r="K994" s="79" t="s">
        <v>707</v>
      </c>
      <c r="L994" s="79" t="s">
        <v>2094</v>
      </c>
      <c r="Y994" s="79" t="s">
        <v>1532</v>
      </c>
    </row>
    <row r="995" spans="1:25" ht="12.75" customHeight="1" x14ac:dyDescent="0.2">
      <c r="A995" s="91">
        <f t="shared" si="26"/>
        <v>1</v>
      </c>
      <c r="B995" s="79" t="s">
        <v>1555</v>
      </c>
      <c r="C995" s="79" t="s">
        <v>1555</v>
      </c>
      <c r="D995" s="79" t="s">
        <v>1554</v>
      </c>
      <c r="E995" s="55" t="s">
        <v>3331</v>
      </c>
      <c r="F995" s="79" t="s">
        <v>1554</v>
      </c>
      <c r="G995" s="79" t="s">
        <v>847</v>
      </c>
      <c r="H995" s="79" t="s">
        <v>2786</v>
      </c>
      <c r="I995" s="79" t="s">
        <v>2795</v>
      </c>
      <c r="J995" s="79" t="s">
        <v>848</v>
      </c>
      <c r="K995" s="79" t="s">
        <v>707</v>
      </c>
      <c r="L995" s="79" t="s">
        <v>849</v>
      </c>
      <c r="Y995" s="79" t="s">
        <v>714</v>
      </c>
    </row>
    <row r="996" spans="1:25" ht="12.75" customHeight="1" x14ac:dyDescent="0.2">
      <c r="A996" s="91">
        <f t="shared" si="26"/>
        <v>1</v>
      </c>
      <c r="B996" s="79" t="s">
        <v>3175</v>
      </c>
      <c r="C996" s="79" t="s">
        <v>3175</v>
      </c>
      <c r="D996" s="79" t="s">
        <v>3176</v>
      </c>
      <c r="E996" s="55" t="s">
        <v>3327</v>
      </c>
      <c r="F996" s="79" t="s">
        <v>3176</v>
      </c>
      <c r="G996" s="79" t="s">
        <v>3177</v>
      </c>
      <c r="H996" s="79" t="s">
        <v>2786</v>
      </c>
      <c r="I996" s="79" t="s">
        <v>2830</v>
      </c>
      <c r="J996" s="79" t="s">
        <v>1552</v>
      </c>
      <c r="K996" s="79" t="s">
        <v>707</v>
      </c>
      <c r="L996" s="79" t="s">
        <v>1553</v>
      </c>
      <c r="Y996" s="79" t="s">
        <v>1246</v>
      </c>
    </row>
    <row r="997" spans="1:25" ht="12.75" customHeight="1" x14ac:dyDescent="0.2">
      <c r="A997" s="91">
        <f t="shared" si="26"/>
        <v>1</v>
      </c>
      <c r="B997" s="79" t="s">
        <v>1353</v>
      </c>
      <c r="C997" s="79" t="s">
        <v>1353</v>
      </c>
      <c r="D997" s="79" t="s">
        <v>1352</v>
      </c>
      <c r="E997" s="55" t="s">
        <v>3332</v>
      </c>
      <c r="F997" s="79" t="s">
        <v>1352</v>
      </c>
      <c r="G997" s="79" t="s">
        <v>1354</v>
      </c>
      <c r="H997" s="79" t="s">
        <v>2762</v>
      </c>
      <c r="I997" s="79" t="s">
        <v>2763</v>
      </c>
      <c r="J997" s="79" t="s">
        <v>733</v>
      </c>
      <c r="K997" s="79" t="s">
        <v>707</v>
      </c>
      <c r="L997" s="79" t="s">
        <v>877</v>
      </c>
      <c r="Y997" s="79" t="s">
        <v>1141</v>
      </c>
    </row>
    <row r="998" spans="1:25" ht="12.75" customHeight="1" x14ac:dyDescent="0.2">
      <c r="A998" s="91">
        <f t="shared" si="26"/>
        <v>1</v>
      </c>
      <c r="B998" s="79" t="s">
        <v>1388</v>
      </c>
      <c r="C998" s="79" t="s">
        <v>1388</v>
      </c>
      <c r="D998" s="79" t="s">
        <v>1387</v>
      </c>
      <c r="E998" s="55" t="s">
        <v>3191</v>
      </c>
      <c r="F998" s="79" t="s">
        <v>1387</v>
      </c>
      <c r="G998" s="79" t="s">
        <v>1389</v>
      </c>
      <c r="H998" s="79" t="s">
        <v>2762</v>
      </c>
      <c r="I998" s="79" t="s">
        <v>2766</v>
      </c>
      <c r="J998" s="79" t="s">
        <v>885</v>
      </c>
      <c r="K998" s="79" t="s">
        <v>707</v>
      </c>
      <c r="L998" s="79" t="s">
        <v>886</v>
      </c>
      <c r="Y998" s="79" t="s">
        <v>1127</v>
      </c>
    </row>
    <row r="999" spans="1:25" ht="12.75" customHeight="1" x14ac:dyDescent="0.2">
      <c r="A999" s="91">
        <f t="shared" si="26"/>
        <v>1</v>
      </c>
      <c r="B999" s="79" t="s">
        <v>1388</v>
      </c>
      <c r="C999" s="79" t="s">
        <v>1388</v>
      </c>
      <c r="D999" s="79" t="s">
        <v>2667</v>
      </c>
      <c r="E999" s="55" t="s">
        <v>3191</v>
      </c>
      <c r="F999" s="79" t="s">
        <v>2667</v>
      </c>
      <c r="G999" s="79" t="s">
        <v>2668</v>
      </c>
      <c r="H999" s="79" t="s">
        <v>2762</v>
      </c>
      <c r="I999" s="79" t="s">
        <v>2766</v>
      </c>
      <c r="J999" s="79" t="s">
        <v>885</v>
      </c>
      <c r="K999" s="79" t="s">
        <v>707</v>
      </c>
      <c r="L999" s="79" t="s">
        <v>886</v>
      </c>
      <c r="Y999" s="79" t="s">
        <v>1136</v>
      </c>
    </row>
    <row r="1000" spans="1:25" ht="12.75" customHeight="1" x14ac:dyDescent="0.2">
      <c r="A1000" s="91">
        <f t="shared" si="26"/>
        <v>1</v>
      </c>
      <c r="B1000" s="79" t="s">
        <v>1445</v>
      </c>
      <c r="C1000" s="79" t="s">
        <v>1445</v>
      </c>
      <c r="D1000" s="79" t="s">
        <v>1444</v>
      </c>
      <c r="E1000" s="55" t="s">
        <v>3192</v>
      </c>
      <c r="F1000" s="79" t="s">
        <v>1444</v>
      </c>
      <c r="G1000" s="79" t="s">
        <v>1446</v>
      </c>
      <c r="H1000" s="79" t="s">
        <v>2762</v>
      </c>
      <c r="I1000" s="79" t="s">
        <v>2766</v>
      </c>
      <c r="J1000" s="79" t="s">
        <v>885</v>
      </c>
      <c r="K1000" s="79" t="s">
        <v>707</v>
      </c>
      <c r="L1000" s="79" t="s">
        <v>1257</v>
      </c>
      <c r="Y1000" s="79" t="s">
        <v>1125</v>
      </c>
    </row>
    <row r="1001" spans="1:25" ht="12.75" customHeight="1" x14ac:dyDescent="0.2">
      <c r="A1001" s="91">
        <f t="shared" si="26"/>
        <v>1</v>
      </c>
      <c r="B1001" s="79" t="s">
        <v>1589</v>
      </c>
      <c r="C1001" s="79" t="s">
        <v>1589</v>
      </c>
      <c r="D1001" s="79" t="s">
        <v>1588</v>
      </c>
      <c r="E1001" s="55" t="s">
        <v>3333</v>
      </c>
      <c r="F1001" s="79" t="s">
        <v>1588</v>
      </c>
      <c r="G1001" s="79" t="s">
        <v>1590</v>
      </c>
      <c r="H1001" s="79" t="s">
        <v>2786</v>
      </c>
      <c r="I1001" s="79" t="s">
        <v>2832</v>
      </c>
      <c r="J1001" s="79" t="s">
        <v>1591</v>
      </c>
      <c r="K1001" s="79" t="s">
        <v>707</v>
      </c>
      <c r="L1001" s="79" t="s">
        <v>1592</v>
      </c>
      <c r="Y1001" s="79" t="s">
        <v>1131</v>
      </c>
    </row>
    <row r="1002" spans="1:25" ht="12.75" customHeight="1" x14ac:dyDescent="0.2">
      <c r="A1002" s="91">
        <f t="shared" si="26"/>
        <v>1</v>
      </c>
      <c r="B1002" s="79" t="s">
        <v>1285</v>
      </c>
      <c r="C1002" s="79" t="s">
        <v>1285</v>
      </c>
      <c r="D1002" s="79" t="s">
        <v>1284</v>
      </c>
      <c r="E1002" s="55" t="s">
        <v>3334</v>
      </c>
      <c r="F1002" s="79" t="s">
        <v>1284</v>
      </c>
      <c r="G1002" s="79" t="s">
        <v>1286</v>
      </c>
      <c r="H1002" s="79" t="s">
        <v>2762</v>
      </c>
      <c r="I1002" s="79" t="s">
        <v>2764</v>
      </c>
      <c r="J1002" s="79" t="s">
        <v>1287</v>
      </c>
      <c r="K1002" s="79" t="s">
        <v>898</v>
      </c>
      <c r="L1002" s="79" t="s">
        <v>1288</v>
      </c>
      <c r="Y1002" s="79" t="s">
        <v>1129</v>
      </c>
    </row>
    <row r="1003" spans="1:25" ht="12.75" customHeight="1" x14ac:dyDescent="0.2">
      <c r="A1003" s="91">
        <f t="shared" si="26"/>
        <v>1</v>
      </c>
      <c r="B1003" s="79" t="s">
        <v>2285</v>
      </c>
      <c r="C1003" s="79" t="s">
        <v>2285</v>
      </c>
      <c r="D1003" s="79" t="s">
        <v>2284</v>
      </c>
      <c r="E1003" s="55" t="s">
        <v>3335</v>
      </c>
      <c r="F1003" s="79" t="s">
        <v>2284</v>
      </c>
      <c r="G1003" s="79" t="s">
        <v>3125</v>
      </c>
      <c r="H1003" s="79" t="s">
        <v>2782</v>
      </c>
      <c r="I1003" s="79" t="s">
        <v>2819</v>
      </c>
      <c r="J1003" s="79" t="s">
        <v>2287</v>
      </c>
      <c r="K1003" s="79" t="s">
        <v>707</v>
      </c>
      <c r="L1003" s="79" t="s">
        <v>2288</v>
      </c>
      <c r="Y1003" s="79" t="s">
        <v>1275</v>
      </c>
    </row>
    <row r="1004" spans="1:25" ht="12.75" customHeight="1" x14ac:dyDescent="0.2">
      <c r="A1004" s="91">
        <f t="shared" si="26"/>
        <v>1</v>
      </c>
      <c r="B1004" s="79" t="s">
        <v>3127</v>
      </c>
      <c r="C1004" s="79" t="s">
        <v>3127</v>
      </c>
      <c r="D1004" s="79" t="s">
        <v>3128</v>
      </c>
      <c r="E1004" s="55" t="s">
        <v>3335</v>
      </c>
      <c r="F1004" s="79" t="s">
        <v>3128</v>
      </c>
      <c r="G1004" s="79" t="s">
        <v>3125</v>
      </c>
      <c r="H1004" s="79" t="s">
        <v>2782</v>
      </c>
      <c r="I1004" s="79" t="s">
        <v>2819</v>
      </c>
      <c r="J1004" s="79" t="s">
        <v>2287</v>
      </c>
      <c r="K1004" s="79" t="s">
        <v>707</v>
      </c>
      <c r="L1004" s="79" t="s">
        <v>2288</v>
      </c>
      <c r="Y1004" s="79" t="s">
        <v>1270</v>
      </c>
    </row>
    <row r="1005" spans="1:25" ht="12.75" customHeight="1" x14ac:dyDescent="0.2">
      <c r="A1005" s="91">
        <f t="shared" si="26"/>
        <v>1</v>
      </c>
      <c r="B1005" s="79" t="s">
        <v>1776</v>
      </c>
      <c r="C1005" s="79" t="s">
        <v>1776</v>
      </c>
      <c r="D1005" s="79" t="s">
        <v>1775</v>
      </c>
      <c r="E1005" s="55" t="s">
        <v>3336</v>
      </c>
      <c r="F1005" s="79" t="s">
        <v>1775</v>
      </c>
      <c r="G1005" s="79" t="s">
        <v>1777</v>
      </c>
      <c r="H1005" s="79" t="s">
        <v>2775</v>
      </c>
      <c r="I1005" s="79" t="s">
        <v>2833</v>
      </c>
      <c r="J1005" s="79" t="s">
        <v>1778</v>
      </c>
      <c r="K1005" s="79" t="s">
        <v>707</v>
      </c>
      <c r="L1005" s="79" t="s">
        <v>1779</v>
      </c>
      <c r="Y1005" s="79" t="s">
        <v>2373</v>
      </c>
    </row>
    <row r="1006" spans="1:25" ht="12.75" customHeight="1" x14ac:dyDescent="0.2">
      <c r="A1006" s="91">
        <f t="shared" si="26"/>
        <v>1</v>
      </c>
      <c r="B1006" s="79" t="s">
        <v>2033</v>
      </c>
      <c r="C1006" s="79" t="s">
        <v>2033</v>
      </c>
      <c r="D1006" s="79" t="s">
        <v>2032</v>
      </c>
      <c r="E1006" s="55" t="s">
        <v>3337</v>
      </c>
      <c r="F1006" s="79" t="s">
        <v>2032</v>
      </c>
      <c r="G1006" s="79" t="s">
        <v>2034</v>
      </c>
      <c r="H1006" s="79" t="s">
        <v>2770</v>
      </c>
      <c r="I1006" s="79" t="s">
        <v>2826</v>
      </c>
      <c r="J1006" s="79" t="s">
        <v>2035</v>
      </c>
      <c r="K1006" s="79" t="s">
        <v>707</v>
      </c>
      <c r="L1006" s="79" t="s">
        <v>2036</v>
      </c>
      <c r="Y1006" s="79" t="s">
        <v>1332</v>
      </c>
    </row>
    <row r="1007" spans="1:25" ht="12.75" customHeight="1" x14ac:dyDescent="0.2">
      <c r="A1007" s="91">
        <f t="shared" si="26"/>
        <v>1</v>
      </c>
      <c r="B1007" s="79" t="s">
        <v>1667</v>
      </c>
      <c r="C1007" s="79" t="s">
        <v>1667</v>
      </c>
      <c r="D1007" s="79" t="s">
        <v>1666</v>
      </c>
      <c r="E1007" s="55" t="s">
        <v>3338</v>
      </c>
      <c r="F1007" s="79" t="s">
        <v>1666</v>
      </c>
      <c r="G1007" s="79" t="s">
        <v>1668</v>
      </c>
      <c r="H1007" s="79" t="s">
        <v>2834</v>
      </c>
      <c r="I1007" s="79" t="s">
        <v>2835</v>
      </c>
      <c r="J1007" s="79" t="s">
        <v>1669</v>
      </c>
      <c r="K1007" s="79" t="s">
        <v>707</v>
      </c>
      <c r="L1007" s="79" t="s">
        <v>1670</v>
      </c>
      <c r="Y1007" s="79" t="s">
        <v>1335</v>
      </c>
    </row>
    <row r="1008" spans="1:25" ht="12.75" customHeight="1" x14ac:dyDescent="0.2">
      <c r="A1008" s="91">
        <f t="shared" si="26"/>
        <v>1</v>
      </c>
      <c r="B1008" s="79" t="s">
        <v>1667</v>
      </c>
      <c r="C1008" s="79" t="s">
        <v>1667</v>
      </c>
      <c r="D1008" s="79" t="s">
        <v>2693</v>
      </c>
      <c r="E1008" s="55" t="s">
        <v>3338</v>
      </c>
      <c r="F1008" s="79" t="s">
        <v>2693</v>
      </c>
      <c r="G1008" s="79" t="s">
        <v>1668</v>
      </c>
      <c r="H1008" s="79" t="s">
        <v>2834</v>
      </c>
      <c r="I1008" s="79" t="s">
        <v>2835</v>
      </c>
      <c r="J1008" s="79" t="s">
        <v>1669</v>
      </c>
      <c r="K1008" s="79" t="s">
        <v>707</v>
      </c>
      <c r="L1008" s="79" t="s">
        <v>1670</v>
      </c>
      <c r="Y1008" s="79" t="s">
        <v>1340</v>
      </c>
    </row>
    <row r="1009" spans="1:25" ht="12.75" customHeight="1" x14ac:dyDescent="0.2">
      <c r="A1009" s="91">
        <f t="shared" si="26"/>
        <v>1</v>
      </c>
      <c r="B1009" s="79" t="s">
        <v>2081</v>
      </c>
      <c r="C1009" s="79" t="s">
        <v>2081</v>
      </c>
      <c r="D1009" s="79" t="s">
        <v>2080</v>
      </c>
      <c r="E1009" s="55" t="s">
        <v>3325</v>
      </c>
      <c r="F1009" s="79" t="s">
        <v>2080</v>
      </c>
      <c r="G1009" s="79" t="s">
        <v>2082</v>
      </c>
      <c r="H1009" s="79" t="s">
        <v>2770</v>
      </c>
      <c r="I1009" s="79" t="s">
        <v>2826</v>
      </c>
      <c r="J1009" s="79" t="s">
        <v>1822</v>
      </c>
      <c r="K1009" s="79" t="s">
        <v>707</v>
      </c>
      <c r="L1009" s="79" t="s">
        <v>1823</v>
      </c>
      <c r="Y1009" s="79" t="s">
        <v>1725</v>
      </c>
    </row>
    <row r="1010" spans="1:25" ht="12.75" customHeight="1" x14ac:dyDescent="0.2">
      <c r="A1010" s="91">
        <f t="shared" si="26"/>
        <v>1</v>
      </c>
      <c r="B1010" s="79" t="s">
        <v>1836</v>
      </c>
      <c r="C1010" s="79" t="s">
        <v>1836</v>
      </c>
      <c r="D1010" s="79" t="s">
        <v>1835</v>
      </c>
      <c r="E1010" s="55" t="s">
        <v>3339</v>
      </c>
      <c r="F1010" s="79" t="s">
        <v>1835</v>
      </c>
      <c r="G1010" s="79" t="s">
        <v>1837</v>
      </c>
      <c r="H1010" s="79" t="s">
        <v>2770</v>
      </c>
      <c r="I1010" s="79" t="s">
        <v>2836</v>
      </c>
      <c r="J1010" s="79" t="s">
        <v>1838</v>
      </c>
      <c r="K1010" s="79" t="s">
        <v>707</v>
      </c>
      <c r="L1010" s="79" t="s">
        <v>1839</v>
      </c>
      <c r="Y1010" s="79" t="s">
        <v>1861</v>
      </c>
    </row>
    <row r="1011" spans="1:25" ht="12.75" customHeight="1" x14ac:dyDescent="0.2">
      <c r="A1011" s="91">
        <f t="shared" si="26"/>
        <v>1</v>
      </c>
      <c r="B1011" s="79" t="s">
        <v>1847</v>
      </c>
      <c r="C1011" s="79" t="s">
        <v>1847</v>
      </c>
      <c r="D1011" s="79" t="s">
        <v>1846</v>
      </c>
      <c r="E1011" s="55" t="s">
        <v>3271</v>
      </c>
      <c r="F1011" s="79" t="s">
        <v>1846</v>
      </c>
      <c r="G1011" s="79" t="s">
        <v>1848</v>
      </c>
      <c r="H1011" s="79" t="s">
        <v>2782</v>
      </c>
      <c r="I1011" s="79" t="s">
        <v>2810</v>
      </c>
      <c r="J1011" s="79" t="s">
        <v>1849</v>
      </c>
      <c r="K1011" s="79" t="s">
        <v>707</v>
      </c>
      <c r="L1011" s="79" t="s">
        <v>1850</v>
      </c>
      <c r="Y1011" s="79" t="s">
        <v>2433</v>
      </c>
    </row>
    <row r="1012" spans="1:25" ht="12.75" customHeight="1" x14ac:dyDescent="0.2">
      <c r="A1012" s="91">
        <f t="shared" si="26"/>
        <v>1</v>
      </c>
      <c r="B1012" s="79" t="s">
        <v>1844</v>
      </c>
      <c r="C1012" s="79" t="s">
        <v>1844</v>
      </c>
      <c r="D1012" s="79" t="s">
        <v>1843</v>
      </c>
      <c r="E1012" s="55" t="s">
        <v>3217</v>
      </c>
      <c r="F1012" s="79" t="s">
        <v>1843</v>
      </c>
      <c r="G1012" s="79" t="s">
        <v>1845</v>
      </c>
      <c r="H1012" s="79" t="s">
        <v>2770</v>
      </c>
      <c r="I1012" s="79" t="s">
        <v>2789</v>
      </c>
      <c r="J1012" s="79" t="s">
        <v>1144</v>
      </c>
      <c r="K1012" s="79" t="s">
        <v>707</v>
      </c>
      <c r="L1012" s="79" t="s">
        <v>1145</v>
      </c>
      <c r="Y1012" s="79" t="s">
        <v>2438</v>
      </c>
    </row>
    <row r="1013" spans="1:25" ht="12.75" customHeight="1" x14ac:dyDescent="0.2">
      <c r="A1013" s="91">
        <f t="shared" si="26"/>
        <v>1</v>
      </c>
      <c r="B1013" s="79" t="s">
        <v>1841</v>
      </c>
      <c r="C1013" s="79" t="s">
        <v>1841</v>
      </c>
      <c r="D1013" s="79" t="s">
        <v>1840</v>
      </c>
      <c r="E1013" s="55" t="s">
        <v>3217</v>
      </c>
      <c r="F1013" s="79" t="s">
        <v>1840</v>
      </c>
      <c r="G1013" s="79" t="s">
        <v>1842</v>
      </c>
      <c r="H1013" s="79" t="s">
        <v>2770</v>
      </c>
      <c r="I1013" s="79" t="s">
        <v>2789</v>
      </c>
      <c r="J1013" s="79" t="s">
        <v>1144</v>
      </c>
      <c r="K1013" s="79" t="s">
        <v>707</v>
      </c>
      <c r="L1013" s="79" t="s">
        <v>1145</v>
      </c>
      <c r="Y1013" s="79" t="s">
        <v>1681</v>
      </c>
    </row>
    <row r="1014" spans="1:25" ht="12.75" customHeight="1" x14ac:dyDescent="0.2">
      <c r="A1014" s="91">
        <f t="shared" si="26"/>
        <v>1</v>
      </c>
      <c r="B1014" s="79" t="s">
        <v>3095</v>
      </c>
      <c r="C1014" s="79" t="s">
        <v>3095</v>
      </c>
      <c r="D1014" s="79" t="s">
        <v>3096</v>
      </c>
      <c r="E1014" s="55" t="s">
        <v>3340</v>
      </c>
      <c r="F1014" s="79" t="s">
        <v>3096</v>
      </c>
      <c r="G1014" s="79" t="s">
        <v>1968</v>
      </c>
      <c r="H1014" s="79" t="s">
        <v>2770</v>
      </c>
      <c r="I1014" s="79" t="s">
        <v>2824</v>
      </c>
      <c r="J1014" s="79" t="s">
        <v>1879</v>
      </c>
      <c r="K1014" s="79" t="s">
        <v>707</v>
      </c>
      <c r="L1014" s="79" t="s">
        <v>1880</v>
      </c>
      <c r="Y1014" s="79" t="s">
        <v>2346</v>
      </c>
    </row>
    <row r="1015" spans="1:25" ht="12.75" customHeight="1" x14ac:dyDescent="0.2">
      <c r="A1015" s="91">
        <f t="shared" si="26"/>
        <v>1</v>
      </c>
      <c r="B1015" s="79" t="s">
        <v>1805</v>
      </c>
      <c r="C1015" s="79" t="s">
        <v>1805</v>
      </c>
      <c r="D1015" s="79" t="s">
        <v>1804</v>
      </c>
      <c r="E1015" s="55" t="s">
        <v>3341</v>
      </c>
      <c r="F1015" s="79" t="s">
        <v>1804</v>
      </c>
      <c r="G1015" s="79" t="s">
        <v>1806</v>
      </c>
      <c r="H1015" s="79" t="s">
        <v>2770</v>
      </c>
      <c r="I1015" s="79" t="s">
        <v>2827</v>
      </c>
      <c r="J1015" s="79" t="s">
        <v>1807</v>
      </c>
      <c r="K1015" s="79" t="s">
        <v>707</v>
      </c>
      <c r="L1015" s="79" t="s">
        <v>1808</v>
      </c>
      <c r="Y1015" s="79" t="s">
        <v>2353</v>
      </c>
    </row>
    <row r="1016" spans="1:25" ht="12.75" customHeight="1" x14ac:dyDescent="0.2">
      <c r="A1016" s="91">
        <f t="shared" si="26"/>
        <v>1</v>
      </c>
      <c r="B1016" s="79" t="s">
        <v>2145</v>
      </c>
      <c r="C1016" s="79" t="s">
        <v>2145</v>
      </c>
      <c r="D1016" s="79" t="s">
        <v>2144</v>
      </c>
      <c r="E1016" s="55" t="s">
        <v>3290</v>
      </c>
      <c r="F1016" s="79" t="s">
        <v>2144</v>
      </c>
      <c r="G1016" s="79" t="s">
        <v>2146</v>
      </c>
      <c r="H1016" s="79" t="s">
        <v>2780</v>
      </c>
      <c r="I1016" s="79" t="s">
        <v>2797</v>
      </c>
      <c r="J1016" s="79" t="s">
        <v>2127</v>
      </c>
      <c r="K1016" s="79" t="s">
        <v>707</v>
      </c>
      <c r="L1016" s="79" t="s">
        <v>2128</v>
      </c>
      <c r="Y1016" s="79" t="s">
        <v>2351</v>
      </c>
    </row>
    <row r="1017" spans="1:25" ht="12.75" customHeight="1" x14ac:dyDescent="0.2">
      <c r="A1017" s="91">
        <f t="shared" si="26"/>
        <v>1</v>
      </c>
      <c r="B1017" s="79" t="s">
        <v>2155</v>
      </c>
      <c r="C1017" s="79" t="s">
        <v>2155</v>
      </c>
      <c r="D1017" s="79" t="s">
        <v>2154</v>
      </c>
      <c r="E1017" s="55" t="s">
        <v>3342</v>
      </c>
      <c r="F1017" s="79" t="s">
        <v>2154</v>
      </c>
      <c r="G1017" s="79" t="s">
        <v>2156</v>
      </c>
      <c r="H1017" s="79" t="s">
        <v>2780</v>
      </c>
      <c r="I1017" s="79" t="s">
        <v>2820</v>
      </c>
      <c r="J1017" s="79" t="s">
        <v>2157</v>
      </c>
      <c r="K1017" s="79" t="s">
        <v>707</v>
      </c>
      <c r="L1017" s="79" t="s">
        <v>2158</v>
      </c>
      <c r="Y1017" s="79" t="s">
        <v>2440</v>
      </c>
    </row>
    <row r="1018" spans="1:25" ht="12.75" customHeight="1" x14ac:dyDescent="0.2">
      <c r="A1018" s="91">
        <f t="shared" si="26"/>
        <v>1</v>
      </c>
      <c r="B1018" s="79" t="s">
        <v>2160</v>
      </c>
      <c r="C1018" s="79" t="s">
        <v>2160</v>
      </c>
      <c r="D1018" s="79" t="s">
        <v>2159</v>
      </c>
      <c r="E1018" s="55" t="s">
        <v>3289</v>
      </c>
      <c r="F1018" s="79" t="s">
        <v>2159</v>
      </c>
      <c r="G1018" s="79" t="s">
        <v>2121</v>
      </c>
      <c r="H1018" s="79" t="s">
        <v>2782</v>
      </c>
      <c r="I1018" s="79" t="s">
        <v>2819</v>
      </c>
      <c r="J1018" s="79" t="s">
        <v>2122</v>
      </c>
      <c r="K1018" s="79" t="s">
        <v>707</v>
      </c>
      <c r="L1018" s="79" t="s">
        <v>2123</v>
      </c>
      <c r="Y1018" s="79" t="s">
        <v>1730</v>
      </c>
    </row>
    <row r="1019" spans="1:25" ht="12.75" customHeight="1" x14ac:dyDescent="0.2">
      <c r="A1019" s="91">
        <f t="shared" si="26"/>
        <v>1</v>
      </c>
      <c r="B1019" s="79" t="s">
        <v>2727</v>
      </c>
      <c r="C1019" s="79" t="s">
        <v>2727</v>
      </c>
      <c r="D1019" s="79" t="s">
        <v>2726</v>
      </c>
      <c r="E1019" s="55" t="s">
        <v>3244</v>
      </c>
      <c r="F1019" s="79" t="s">
        <v>2726</v>
      </c>
      <c r="G1019" s="79" t="s">
        <v>2728</v>
      </c>
      <c r="H1019" s="79" t="s">
        <v>2780</v>
      </c>
      <c r="I1019" s="79" t="s">
        <v>2797</v>
      </c>
      <c r="J1019" s="79" t="s">
        <v>2192</v>
      </c>
      <c r="K1019" s="79" t="s">
        <v>707</v>
      </c>
      <c r="L1019" s="79" t="s">
        <v>2193</v>
      </c>
      <c r="Y1019" s="79" t="s">
        <v>1395</v>
      </c>
    </row>
    <row r="1020" spans="1:25" ht="12.75" customHeight="1" x14ac:dyDescent="0.2">
      <c r="A1020" s="91">
        <f t="shared" si="26"/>
        <v>1</v>
      </c>
      <c r="B1020" s="79" t="s">
        <v>1632</v>
      </c>
      <c r="C1020" s="79" t="s">
        <v>1632</v>
      </c>
      <c r="D1020" s="79" t="s">
        <v>1631</v>
      </c>
      <c r="E1020" s="55" t="s">
        <v>3343</v>
      </c>
      <c r="F1020" s="79" t="s">
        <v>1631</v>
      </c>
      <c r="G1020" s="79" t="s">
        <v>1633</v>
      </c>
      <c r="H1020" s="79" t="s">
        <v>2834</v>
      </c>
      <c r="I1020" s="79" t="s">
        <v>2837</v>
      </c>
      <c r="J1020" s="79" t="s">
        <v>1634</v>
      </c>
      <c r="K1020" s="79" t="s">
        <v>707</v>
      </c>
      <c r="L1020" s="79" t="s">
        <v>1635</v>
      </c>
      <c r="Y1020" s="79" t="s">
        <v>1463</v>
      </c>
    </row>
    <row r="1021" spans="1:25" ht="12.75" customHeight="1" x14ac:dyDescent="0.2">
      <c r="A1021" s="91">
        <f t="shared" si="26"/>
        <v>1</v>
      </c>
      <c r="B1021" s="79" t="s">
        <v>1007</v>
      </c>
      <c r="C1021" s="79" t="s">
        <v>1007</v>
      </c>
      <c r="D1021" s="79" t="s">
        <v>1006</v>
      </c>
      <c r="E1021" s="55" t="s">
        <v>3344</v>
      </c>
      <c r="F1021" s="79" t="s">
        <v>1006</v>
      </c>
      <c r="G1021" s="79" t="s">
        <v>1008</v>
      </c>
      <c r="H1021" s="79" t="s">
        <v>2772</v>
      </c>
      <c r="I1021" s="79" t="s">
        <v>2821</v>
      </c>
      <c r="J1021" s="79" t="s">
        <v>1009</v>
      </c>
      <c r="K1021" s="79" t="s">
        <v>707</v>
      </c>
      <c r="L1021" s="79" t="s">
        <v>1010</v>
      </c>
      <c r="Y1021" s="79" t="s">
        <v>1020</v>
      </c>
    </row>
    <row r="1022" spans="1:25" ht="12.75" customHeight="1" x14ac:dyDescent="0.2">
      <c r="A1022" s="91">
        <f t="shared" si="26"/>
        <v>1</v>
      </c>
      <c r="B1022" s="79" t="s">
        <v>1014</v>
      </c>
      <c r="C1022" s="79" t="s">
        <v>1014</v>
      </c>
      <c r="D1022" s="79" t="s">
        <v>1013</v>
      </c>
      <c r="E1022" s="55" t="s">
        <v>3189</v>
      </c>
      <c r="F1022" s="79" t="s">
        <v>1013</v>
      </c>
      <c r="G1022" s="79" t="s">
        <v>816</v>
      </c>
      <c r="H1022" s="79" t="s">
        <v>2762</v>
      </c>
      <c r="I1022" s="79" t="s">
        <v>2766</v>
      </c>
      <c r="J1022" s="79" t="s">
        <v>817</v>
      </c>
      <c r="K1022" s="79" t="s">
        <v>707</v>
      </c>
      <c r="L1022" s="79" t="s">
        <v>818</v>
      </c>
      <c r="Y1022" s="79" t="s">
        <v>1112</v>
      </c>
    </row>
    <row r="1023" spans="1:25" ht="12.75" customHeight="1" x14ac:dyDescent="0.2">
      <c r="A1023" s="91">
        <f t="shared" ref="A1023:A1086" si="27">IF(B1023=B324,1,"CHECK")</f>
        <v>1</v>
      </c>
      <c r="B1023" s="79" t="s">
        <v>1012</v>
      </c>
      <c r="C1023" s="79" t="s">
        <v>1012</v>
      </c>
      <c r="D1023" s="79" t="s">
        <v>1011</v>
      </c>
      <c r="E1023" s="55" t="s">
        <v>3247</v>
      </c>
      <c r="F1023" s="79" t="s">
        <v>1011</v>
      </c>
      <c r="G1023" s="79" t="s">
        <v>997</v>
      </c>
      <c r="H1023" s="79" t="s">
        <v>2762</v>
      </c>
      <c r="I1023" s="79" t="s">
        <v>2763</v>
      </c>
      <c r="J1023" s="79" t="s">
        <v>998</v>
      </c>
      <c r="K1023" s="79" t="s">
        <v>707</v>
      </c>
      <c r="L1023" s="79" t="s">
        <v>999</v>
      </c>
      <c r="Y1023" s="79" t="s">
        <v>2503</v>
      </c>
    </row>
    <row r="1024" spans="1:25" ht="12.75" customHeight="1" x14ac:dyDescent="0.2">
      <c r="A1024" s="91">
        <f t="shared" si="27"/>
        <v>1</v>
      </c>
      <c r="B1024" s="79" t="s">
        <v>1852</v>
      </c>
      <c r="C1024" s="79" t="s">
        <v>1852</v>
      </c>
      <c r="D1024" s="79" t="s">
        <v>1851</v>
      </c>
      <c r="E1024" s="55" t="s">
        <v>3345</v>
      </c>
      <c r="F1024" s="79" t="s">
        <v>1851</v>
      </c>
      <c r="G1024" s="79" t="s">
        <v>1853</v>
      </c>
      <c r="H1024" s="79" t="s">
        <v>2770</v>
      </c>
      <c r="I1024" s="79" t="s">
        <v>2828</v>
      </c>
      <c r="J1024" s="79" t="s">
        <v>1854</v>
      </c>
      <c r="K1024" s="79" t="s">
        <v>707</v>
      </c>
      <c r="L1024" s="79" t="s">
        <v>1855</v>
      </c>
      <c r="Y1024" s="79" t="s">
        <v>2501</v>
      </c>
    </row>
    <row r="1025" spans="1:25" ht="12.75" customHeight="1" x14ac:dyDescent="0.2">
      <c r="A1025" s="91">
        <f t="shared" si="27"/>
        <v>1</v>
      </c>
      <c r="B1025" s="79" t="s">
        <v>1718</v>
      </c>
      <c r="C1025" s="79" t="s">
        <v>1718</v>
      </c>
      <c r="D1025" s="79" t="s">
        <v>1717</v>
      </c>
      <c r="E1025" s="55" t="s">
        <v>3204</v>
      </c>
      <c r="F1025" s="79" t="s">
        <v>1717</v>
      </c>
      <c r="G1025" s="79" t="s">
        <v>1719</v>
      </c>
      <c r="H1025" s="79" t="s">
        <v>2775</v>
      </c>
      <c r="I1025" s="79" t="s">
        <v>2779</v>
      </c>
      <c r="J1025" s="79" t="s">
        <v>1710</v>
      </c>
      <c r="K1025" s="79" t="s">
        <v>707</v>
      </c>
      <c r="L1025" s="79" t="s">
        <v>1711</v>
      </c>
      <c r="Y1025" s="79" t="s">
        <v>1571</v>
      </c>
    </row>
    <row r="1026" spans="1:25" ht="12.75" customHeight="1" x14ac:dyDescent="0.2">
      <c r="A1026" s="91">
        <f t="shared" si="27"/>
        <v>1</v>
      </c>
      <c r="B1026" s="79" t="s">
        <v>2066</v>
      </c>
      <c r="C1026" s="79" t="s">
        <v>2066</v>
      </c>
      <c r="D1026" s="79" t="s">
        <v>2065</v>
      </c>
      <c r="E1026" s="55" t="s">
        <v>3315</v>
      </c>
      <c r="F1026" s="79" t="s">
        <v>2065</v>
      </c>
      <c r="G1026" s="79" t="s">
        <v>2067</v>
      </c>
      <c r="H1026" s="79" t="s">
        <v>2770</v>
      </c>
      <c r="I1026" s="79" t="s">
        <v>2826</v>
      </c>
      <c r="J1026" s="79" t="s">
        <v>2056</v>
      </c>
      <c r="K1026" s="79" t="s">
        <v>707</v>
      </c>
      <c r="L1026" s="79" t="s">
        <v>2057</v>
      </c>
      <c r="Y1026" s="79" t="s">
        <v>2184</v>
      </c>
    </row>
    <row r="1027" spans="1:25" ht="12.75" customHeight="1" x14ac:dyDescent="0.2">
      <c r="A1027" s="91">
        <f t="shared" si="27"/>
        <v>1</v>
      </c>
      <c r="B1027" s="79" t="s">
        <v>3112</v>
      </c>
      <c r="C1027" s="79" t="s">
        <v>3112</v>
      </c>
      <c r="D1027" s="79" t="s">
        <v>3113</v>
      </c>
      <c r="E1027" s="55" t="s">
        <v>3346</v>
      </c>
      <c r="F1027" s="79" t="s">
        <v>3113</v>
      </c>
      <c r="G1027" s="79" t="s">
        <v>3114</v>
      </c>
      <c r="H1027" s="79" t="s">
        <v>2780</v>
      </c>
      <c r="I1027" s="79" t="s">
        <v>1920</v>
      </c>
      <c r="J1027" s="79" t="s">
        <v>2112</v>
      </c>
      <c r="K1027" s="79" t="s">
        <v>1920</v>
      </c>
      <c r="L1027" s="79" t="s">
        <v>2113</v>
      </c>
      <c r="Y1027" s="79" t="s">
        <v>2734</v>
      </c>
    </row>
    <row r="1028" spans="1:25" ht="12.75" customHeight="1" x14ac:dyDescent="0.2">
      <c r="A1028" s="91">
        <f t="shared" si="27"/>
        <v>1</v>
      </c>
      <c r="B1028" s="79" t="s">
        <v>2110</v>
      </c>
      <c r="C1028" s="79" t="s">
        <v>2110</v>
      </c>
      <c r="D1028" s="79" t="s">
        <v>2109</v>
      </c>
      <c r="E1028" s="55" t="s">
        <v>3346</v>
      </c>
      <c r="F1028" s="79" t="s">
        <v>2109</v>
      </c>
      <c r="G1028" s="79" t="s">
        <v>2111</v>
      </c>
      <c r="H1028" s="79" t="s">
        <v>2780</v>
      </c>
      <c r="I1028" s="79" t="s">
        <v>2764</v>
      </c>
      <c r="J1028" s="79" t="s">
        <v>2112</v>
      </c>
      <c r="K1028" s="79" t="s">
        <v>1920</v>
      </c>
      <c r="L1028" s="79" t="s">
        <v>2113</v>
      </c>
      <c r="Y1028" s="79" t="s">
        <v>2732</v>
      </c>
    </row>
    <row r="1029" spans="1:25" ht="12.75" customHeight="1" x14ac:dyDescent="0.2">
      <c r="A1029" s="91">
        <f t="shared" si="27"/>
        <v>1</v>
      </c>
      <c r="B1029" s="79" t="s">
        <v>3116</v>
      </c>
      <c r="C1029" s="79" t="s">
        <v>3116</v>
      </c>
      <c r="D1029" s="79" t="s">
        <v>3117</v>
      </c>
      <c r="E1029" s="55" t="s">
        <v>3347</v>
      </c>
      <c r="F1029" s="79" t="s">
        <v>3117</v>
      </c>
      <c r="G1029" s="79" t="s">
        <v>3118</v>
      </c>
      <c r="H1029" s="79" t="s">
        <v>2770</v>
      </c>
      <c r="I1029" s="79" t="s">
        <v>2789</v>
      </c>
      <c r="J1029" s="79" t="s">
        <v>1144</v>
      </c>
      <c r="K1029" s="79" t="s">
        <v>707</v>
      </c>
      <c r="L1029" s="79" t="s">
        <v>3119</v>
      </c>
      <c r="Y1029" s="79" t="s">
        <v>2729</v>
      </c>
    </row>
    <row r="1030" spans="1:25" ht="12.75" customHeight="1" x14ac:dyDescent="0.2">
      <c r="A1030" s="91">
        <f t="shared" si="27"/>
        <v>1</v>
      </c>
      <c r="B1030" s="79" t="s">
        <v>2235</v>
      </c>
      <c r="C1030" s="79" t="s">
        <v>2235</v>
      </c>
      <c r="D1030" s="79" t="s">
        <v>2234</v>
      </c>
      <c r="E1030" s="55" t="s">
        <v>3207</v>
      </c>
      <c r="F1030" s="79" t="s">
        <v>2234</v>
      </c>
      <c r="G1030" s="79" t="s">
        <v>1992</v>
      </c>
      <c r="H1030" s="79" t="s">
        <v>2782</v>
      </c>
      <c r="I1030" s="79" t="s">
        <v>2784</v>
      </c>
      <c r="J1030" s="79" t="s">
        <v>1979</v>
      </c>
      <c r="K1030" s="79" t="s">
        <v>707</v>
      </c>
      <c r="L1030" s="79" t="s">
        <v>1980</v>
      </c>
      <c r="Y1030" s="79" t="s">
        <v>2265</v>
      </c>
    </row>
    <row r="1031" spans="1:25" ht="12.75" customHeight="1" x14ac:dyDescent="0.2">
      <c r="A1031" s="91">
        <f t="shared" si="27"/>
        <v>1</v>
      </c>
      <c r="B1031" s="79" t="s">
        <v>2239</v>
      </c>
      <c r="C1031" s="79" t="s">
        <v>2239</v>
      </c>
      <c r="D1031" s="79" t="s">
        <v>2238</v>
      </c>
      <c r="E1031" s="55" t="s">
        <v>3224</v>
      </c>
      <c r="F1031" s="79" t="s">
        <v>2238</v>
      </c>
      <c r="G1031" s="79" t="s">
        <v>909</v>
      </c>
      <c r="H1031" s="79" t="s">
        <v>2782</v>
      </c>
      <c r="I1031" s="79" t="s">
        <v>2838</v>
      </c>
      <c r="J1031" s="79" t="s">
        <v>910</v>
      </c>
      <c r="K1031" s="79" t="s">
        <v>707</v>
      </c>
      <c r="L1031" s="79" t="s">
        <v>911</v>
      </c>
      <c r="Y1031" s="79" t="s">
        <v>2263</v>
      </c>
    </row>
    <row r="1032" spans="1:25" ht="12.75" customHeight="1" x14ac:dyDescent="0.2">
      <c r="A1032" s="91">
        <f t="shared" si="27"/>
        <v>1</v>
      </c>
      <c r="B1032" s="79" t="s">
        <v>2237</v>
      </c>
      <c r="C1032" s="79" t="s">
        <v>2237</v>
      </c>
      <c r="D1032" s="79" t="s">
        <v>2236</v>
      </c>
      <c r="E1032" s="55" t="s">
        <v>3269</v>
      </c>
      <c r="F1032" s="79" t="s">
        <v>2236</v>
      </c>
      <c r="G1032" s="79" t="s">
        <v>2012</v>
      </c>
      <c r="H1032" s="79" t="s">
        <v>2791</v>
      </c>
      <c r="I1032" s="79" t="s">
        <v>1489</v>
      </c>
      <c r="J1032" s="79" t="s">
        <v>2013</v>
      </c>
      <c r="K1032" s="79" t="s">
        <v>1489</v>
      </c>
      <c r="L1032" s="79" t="s">
        <v>2014</v>
      </c>
      <c r="Y1032" s="79" t="s">
        <v>2271</v>
      </c>
    </row>
    <row r="1033" spans="1:25" ht="12.75" customHeight="1" x14ac:dyDescent="0.2">
      <c r="A1033" s="91">
        <f t="shared" si="27"/>
        <v>1</v>
      </c>
      <c r="B1033" s="79" t="s">
        <v>2233</v>
      </c>
      <c r="C1033" s="79" t="s">
        <v>2233</v>
      </c>
      <c r="D1033" s="79" t="s">
        <v>2232</v>
      </c>
      <c r="E1033" s="55" t="s">
        <v>3348</v>
      </c>
      <c r="F1033" s="79" t="s">
        <v>2232</v>
      </c>
      <c r="G1033" s="79" t="s">
        <v>1983</v>
      </c>
      <c r="H1033" s="79" t="s">
        <v>2782</v>
      </c>
      <c r="I1033" s="79" t="s">
        <v>2839</v>
      </c>
      <c r="J1033" s="79" t="s">
        <v>1134</v>
      </c>
      <c r="K1033" s="79" t="s">
        <v>707</v>
      </c>
      <c r="L1033" s="79" t="s">
        <v>1984</v>
      </c>
      <c r="Y1033" s="79" t="s">
        <v>2261</v>
      </c>
    </row>
    <row r="1034" spans="1:25" ht="12.75" customHeight="1" x14ac:dyDescent="0.2">
      <c r="A1034" s="91">
        <f t="shared" si="27"/>
        <v>1</v>
      </c>
      <c r="B1034" s="79" t="s">
        <v>2227</v>
      </c>
      <c r="C1034" s="79" t="s">
        <v>2227</v>
      </c>
      <c r="D1034" s="79" t="s">
        <v>2226</v>
      </c>
      <c r="E1034" s="55" t="s">
        <v>3283</v>
      </c>
      <c r="F1034" s="79" t="s">
        <v>2226</v>
      </c>
      <c r="G1034" s="79" t="s">
        <v>3115</v>
      </c>
      <c r="H1034" s="79" t="s">
        <v>2782</v>
      </c>
      <c r="I1034" s="79" t="s">
        <v>2784</v>
      </c>
      <c r="J1034" s="79" t="s">
        <v>1974</v>
      </c>
      <c r="K1034" s="79" t="s">
        <v>707</v>
      </c>
      <c r="L1034" s="79" t="s">
        <v>1975</v>
      </c>
      <c r="Y1034" s="79" t="s">
        <v>2275</v>
      </c>
    </row>
    <row r="1035" spans="1:25" ht="12.75" customHeight="1" x14ac:dyDescent="0.2">
      <c r="A1035" s="91">
        <f t="shared" si="27"/>
        <v>1</v>
      </c>
      <c r="B1035" s="79" t="s">
        <v>2230</v>
      </c>
      <c r="C1035" s="79" t="s">
        <v>2230</v>
      </c>
      <c r="D1035" s="79" t="s">
        <v>2229</v>
      </c>
      <c r="E1035" s="55" t="s">
        <v>3207</v>
      </c>
      <c r="F1035" s="79" t="s">
        <v>2229</v>
      </c>
      <c r="G1035" s="79" t="s">
        <v>2231</v>
      </c>
      <c r="H1035" s="79" t="s">
        <v>2782</v>
      </c>
      <c r="I1035" s="79" t="s">
        <v>2784</v>
      </c>
      <c r="J1035" s="79" t="s">
        <v>1979</v>
      </c>
      <c r="K1035" s="79" t="s">
        <v>707</v>
      </c>
      <c r="L1035" s="79" t="s">
        <v>1980</v>
      </c>
      <c r="Y1035" s="79" t="s">
        <v>2273</v>
      </c>
    </row>
    <row r="1036" spans="1:25" ht="12.75" customHeight="1" x14ac:dyDescent="0.2">
      <c r="A1036" s="91">
        <f t="shared" si="27"/>
        <v>1</v>
      </c>
      <c r="B1036" s="79" t="s">
        <v>2260</v>
      </c>
      <c r="C1036" s="79" t="s">
        <v>2260</v>
      </c>
      <c r="D1036" s="79" t="s">
        <v>2259</v>
      </c>
      <c r="E1036" s="55" t="s">
        <v>3349</v>
      </c>
      <c r="F1036" s="79" t="s">
        <v>2259</v>
      </c>
      <c r="G1036" s="79" t="s">
        <v>2002</v>
      </c>
      <c r="H1036" s="79" t="s">
        <v>2782</v>
      </c>
      <c r="I1036" s="79" t="s">
        <v>1489</v>
      </c>
      <c r="J1036" s="79" t="s">
        <v>2003</v>
      </c>
      <c r="K1036" s="79" t="s">
        <v>1489</v>
      </c>
      <c r="L1036" s="79" t="s">
        <v>2004</v>
      </c>
      <c r="Y1036" s="79" t="s">
        <v>2277</v>
      </c>
    </row>
    <row r="1037" spans="1:25" ht="12.75" customHeight="1" x14ac:dyDescent="0.2">
      <c r="A1037" s="91">
        <f t="shared" si="27"/>
        <v>1</v>
      </c>
      <c r="B1037" s="79" t="s">
        <v>2253</v>
      </c>
      <c r="C1037" s="79" t="s">
        <v>2253</v>
      </c>
      <c r="D1037" s="79" t="s">
        <v>2252</v>
      </c>
      <c r="E1037" s="55" t="s">
        <v>3224</v>
      </c>
      <c r="F1037" s="79" t="s">
        <v>2252</v>
      </c>
      <c r="G1037" s="79" t="s">
        <v>909</v>
      </c>
      <c r="H1037" s="79" t="s">
        <v>2782</v>
      </c>
      <c r="I1037" s="79" t="s">
        <v>2792</v>
      </c>
      <c r="J1037" s="79" t="s">
        <v>910</v>
      </c>
      <c r="K1037" s="79" t="s">
        <v>707</v>
      </c>
      <c r="L1037" s="79" t="s">
        <v>911</v>
      </c>
      <c r="Y1037" s="79" t="s">
        <v>2267</v>
      </c>
    </row>
    <row r="1038" spans="1:25" ht="12.75" customHeight="1" x14ac:dyDescent="0.2">
      <c r="A1038" s="91">
        <f t="shared" si="27"/>
        <v>1</v>
      </c>
      <c r="B1038" s="79" t="s">
        <v>2255</v>
      </c>
      <c r="C1038" s="79" t="s">
        <v>2255</v>
      </c>
      <c r="D1038" s="79" t="s">
        <v>2254</v>
      </c>
      <c r="E1038" s="55" t="s">
        <v>3225</v>
      </c>
      <c r="F1038" s="79" t="s">
        <v>2254</v>
      </c>
      <c r="G1038" s="79" t="s">
        <v>2256</v>
      </c>
      <c r="H1038" s="79" t="s">
        <v>2782</v>
      </c>
      <c r="I1038" s="79" t="s">
        <v>2792</v>
      </c>
      <c r="J1038" s="79" t="s">
        <v>2257</v>
      </c>
      <c r="K1038" s="79" t="s">
        <v>707</v>
      </c>
      <c r="L1038" s="79" t="s">
        <v>2258</v>
      </c>
      <c r="Y1038" s="79" t="s">
        <v>2269</v>
      </c>
    </row>
    <row r="1039" spans="1:25" ht="12.75" customHeight="1" x14ac:dyDescent="0.2">
      <c r="A1039" s="91">
        <f t="shared" si="27"/>
        <v>1</v>
      </c>
      <c r="B1039" s="79" t="s">
        <v>2247</v>
      </c>
      <c r="C1039" s="79" t="s">
        <v>2247</v>
      </c>
      <c r="D1039" s="79" t="s">
        <v>2246</v>
      </c>
      <c r="E1039" s="55" t="s">
        <v>3348</v>
      </c>
      <c r="F1039" s="79" t="s">
        <v>2246</v>
      </c>
      <c r="G1039" s="79" t="s">
        <v>1983</v>
      </c>
      <c r="H1039" s="79" t="s">
        <v>2782</v>
      </c>
      <c r="I1039" s="79" t="s">
        <v>2839</v>
      </c>
      <c r="J1039" s="79" t="s">
        <v>1134</v>
      </c>
      <c r="K1039" s="79" t="s">
        <v>707</v>
      </c>
      <c r="L1039" s="79" t="s">
        <v>1984</v>
      </c>
      <c r="Y1039" s="79" t="s">
        <v>1241</v>
      </c>
    </row>
    <row r="1040" spans="1:25" ht="12.75" customHeight="1" x14ac:dyDescent="0.2">
      <c r="A1040" s="91">
        <f t="shared" si="27"/>
        <v>1</v>
      </c>
      <c r="B1040" s="79" t="s">
        <v>2243</v>
      </c>
      <c r="C1040" s="79" t="s">
        <v>2243</v>
      </c>
      <c r="D1040" s="79" t="s">
        <v>2242</v>
      </c>
      <c r="E1040" s="55" t="s">
        <v>3283</v>
      </c>
      <c r="F1040" s="79" t="s">
        <v>2242</v>
      </c>
      <c r="G1040" s="79" t="s">
        <v>3115</v>
      </c>
      <c r="H1040" s="79" t="s">
        <v>2782</v>
      </c>
      <c r="I1040" s="79" t="s">
        <v>2784</v>
      </c>
      <c r="J1040" s="79" t="s">
        <v>1974</v>
      </c>
      <c r="K1040" s="79" t="s">
        <v>707</v>
      </c>
      <c r="L1040" s="79" t="s">
        <v>1975</v>
      </c>
      <c r="Y1040" s="79" t="s">
        <v>1355</v>
      </c>
    </row>
    <row r="1041" spans="1:25" ht="12.75" customHeight="1" x14ac:dyDescent="0.2">
      <c r="A1041" s="91">
        <f t="shared" si="27"/>
        <v>1</v>
      </c>
      <c r="B1041" s="79" t="s">
        <v>2251</v>
      </c>
      <c r="C1041" s="79" t="s">
        <v>2251</v>
      </c>
      <c r="D1041" s="79" t="s">
        <v>2250</v>
      </c>
      <c r="E1041" s="55" t="s">
        <v>3350</v>
      </c>
      <c r="F1041" s="79" t="s">
        <v>2250</v>
      </c>
      <c r="G1041" s="79" t="s">
        <v>1995</v>
      </c>
      <c r="H1041" s="79" t="s">
        <v>2791</v>
      </c>
      <c r="I1041" s="79" t="s">
        <v>2809</v>
      </c>
      <c r="J1041" s="79" t="s">
        <v>1996</v>
      </c>
      <c r="K1041" s="79" t="s">
        <v>707</v>
      </c>
      <c r="L1041" s="79" t="s">
        <v>1997</v>
      </c>
      <c r="Y1041" s="79" t="s">
        <v>1593</v>
      </c>
    </row>
    <row r="1042" spans="1:25" ht="12.75" customHeight="1" x14ac:dyDescent="0.2">
      <c r="A1042" s="91">
        <f t="shared" si="27"/>
        <v>1</v>
      </c>
      <c r="B1042" s="79" t="s">
        <v>2245</v>
      </c>
      <c r="C1042" s="79" t="s">
        <v>2245</v>
      </c>
      <c r="D1042" s="79" t="s">
        <v>2244</v>
      </c>
      <c r="E1042" s="55" t="s">
        <v>3207</v>
      </c>
      <c r="F1042" s="79" t="s">
        <v>2244</v>
      </c>
      <c r="G1042" s="79" t="s">
        <v>2231</v>
      </c>
      <c r="H1042" s="79" t="s">
        <v>2782</v>
      </c>
      <c r="I1042" s="79" t="s">
        <v>2784</v>
      </c>
      <c r="J1042" s="79" t="s">
        <v>1979</v>
      </c>
      <c r="K1042" s="79" t="s">
        <v>707</v>
      </c>
      <c r="L1042" s="79" t="s">
        <v>1980</v>
      </c>
      <c r="Y1042" s="79" t="s">
        <v>1745</v>
      </c>
    </row>
    <row r="1043" spans="1:25" ht="12.75" customHeight="1" x14ac:dyDescent="0.2">
      <c r="A1043" s="91">
        <f t="shared" si="27"/>
        <v>1</v>
      </c>
      <c r="B1043" s="79" t="s">
        <v>1977</v>
      </c>
      <c r="C1043" s="79" t="s">
        <v>1977</v>
      </c>
      <c r="D1043" s="79" t="s">
        <v>1976</v>
      </c>
      <c r="E1043" s="55" t="s">
        <v>3207</v>
      </c>
      <c r="F1043" s="79" t="s">
        <v>1976</v>
      </c>
      <c r="G1043" s="79" t="s">
        <v>1978</v>
      </c>
      <c r="H1043" s="79" t="s">
        <v>2782</v>
      </c>
      <c r="I1043" s="79" t="s">
        <v>2784</v>
      </c>
      <c r="J1043" s="79" t="s">
        <v>1979</v>
      </c>
      <c r="K1043" s="79" t="s">
        <v>707</v>
      </c>
      <c r="L1043" s="79" t="s">
        <v>1980</v>
      </c>
      <c r="Y1043" s="79" t="s">
        <v>2090</v>
      </c>
    </row>
    <row r="1044" spans="1:25" ht="12.75" customHeight="1" x14ac:dyDescent="0.2">
      <c r="A1044" s="91">
        <f t="shared" si="27"/>
        <v>1</v>
      </c>
      <c r="B1044" s="79" t="s">
        <v>2249</v>
      </c>
      <c r="C1044" s="79" t="s">
        <v>2249</v>
      </c>
      <c r="D1044" s="79" t="s">
        <v>2248</v>
      </c>
      <c r="E1044" s="55" t="s">
        <v>3207</v>
      </c>
      <c r="F1044" s="79" t="s">
        <v>2248</v>
      </c>
      <c r="G1044" s="79" t="s">
        <v>1926</v>
      </c>
      <c r="H1044" s="79" t="s">
        <v>2782</v>
      </c>
      <c r="I1044" s="79" t="s">
        <v>2784</v>
      </c>
      <c r="J1044" s="79" t="s">
        <v>1979</v>
      </c>
      <c r="K1044" s="79" t="s">
        <v>707</v>
      </c>
      <c r="L1044" s="79" t="s">
        <v>1980</v>
      </c>
      <c r="Y1044" s="79" t="s">
        <v>2095</v>
      </c>
    </row>
    <row r="1045" spans="1:25" ht="12.75" customHeight="1" x14ac:dyDescent="0.2">
      <c r="A1045" s="91">
        <f t="shared" si="27"/>
        <v>1</v>
      </c>
      <c r="B1045" s="79" t="s">
        <v>3120</v>
      </c>
      <c r="C1045" s="79" t="s">
        <v>3120</v>
      </c>
      <c r="D1045" s="79" t="s">
        <v>3121</v>
      </c>
      <c r="E1045" s="55" t="s">
        <v>3226</v>
      </c>
      <c r="F1045" s="79" t="s">
        <v>3121</v>
      </c>
      <c r="G1045" s="79" t="s">
        <v>3104</v>
      </c>
      <c r="H1045" s="79" t="s">
        <v>2791</v>
      </c>
      <c r="I1045" s="79" t="s">
        <v>2809</v>
      </c>
      <c r="J1045" s="79" t="s">
        <v>3105</v>
      </c>
      <c r="K1045" s="79" t="s">
        <v>707</v>
      </c>
      <c r="L1045" s="79" t="s">
        <v>3106</v>
      </c>
      <c r="Y1045" s="79" t="s">
        <v>1608</v>
      </c>
    </row>
    <row r="1046" spans="1:25" ht="12.75" customHeight="1" x14ac:dyDescent="0.2">
      <c r="A1046" s="91">
        <f t="shared" si="27"/>
        <v>1</v>
      </c>
      <c r="B1046" s="79" t="s">
        <v>1986</v>
      </c>
      <c r="C1046" s="79" t="s">
        <v>1986</v>
      </c>
      <c r="D1046" s="79" t="s">
        <v>1985</v>
      </c>
      <c r="E1046" s="55" t="s">
        <v>3222</v>
      </c>
      <c r="F1046" s="79" t="s">
        <v>1985</v>
      </c>
      <c r="G1046" s="79" t="s">
        <v>1987</v>
      </c>
      <c r="H1046" s="79" t="s">
        <v>2791</v>
      </c>
      <c r="I1046" s="79" t="s">
        <v>2764</v>
      </c>
      <c r="J1046" s="79" t="s">
        <v>1988</v>
      </c>
      <c r="K1046" s="79" t="s">
        <v>1489</v>
      </c>
      <c r="L1046" s="79" t="s">
        <v>1989</v>
      </c>
      <c r="Y1046" s="79" t="s">
        <v>1606</v>
      </c>
    </row>
    <row r="1047" spans="1:25" ht="12.75" customHeight="1" x14ac:dyDescent="0.2">
      <c r="A1047" s="91">
        <f t="shared" si="27"/>
        <v>1</v>
      </c>
      <c r="B1047" s="79" t="s">
        <v>1991</v>
      </c>
      <c r="C1047" s="79" t="s">
        <v>1991</v>
      </c>
      <c r="D1047" s="79" t="s">
        <v>1990</v>
      </c>
      <c r="E1047" s="55" t="s">
        <v>3207</v>
      </c>
      <c r="F1047" s="79" t="s">
        <v>1990</v>
      </c>
      <c r="G1047" s="79" t="s">
        <v>1992</v>
      </c>
      <c r="H1047" s="79" t="s">
        <v>2782</v>
      </c>
      <c r="I1047" s="79" t="s">
        <v>2784</v>
      </c>
      <c r="J1047" s="79" t="s">
        <v>1979</v>
      </c>
      <c r="K1047" s="79" t="s">
        <v>707</v>
      </c>
      <c r="L1047" s="79" t="s">
        <v>1980</v>
      </c>
      <c r="Y1047" s="79" t="s">
        <v>1601</v>
      </c>
    </row>
    <row r="1048" spans="1:25" ht="12.75" customHeight="1" x14ac:dyDescent="0.2">
      <c r="A1048" s="91">
        <f t="shared" si="27"/>
        <v>1</v>
      </c>
      <c r="B1048" s="79" t="s">
        <v>2001</v>
      </c>
      <c r="C1048" s="79" t="s">
        <v>2001</v>
      </c>
      <c r="D1048" s="79" t="s">
        <v>2000</v>
      </c>
      <c r="E1048" s="55" t="s">
        <v>3349</v>
      </c>
      <c r="F1048" s="79" t="s">
        <v>2000</v>
      </c>
      <c r="G1048" s="79" t="s">
        <v>2002</v>
      </c>
      <c r="H1048" s="79" t="s">
        <v>2782</v>
      </c>
      <c r="I1048" s="79" t="s">
        <v>1489</v>
      </c>
      <c r="J1048" s="79" t="s">
        <v>2003</v>
      </c>
      <c r="K1048" s="79" t="s">
        <v>1489</v>
      </c>
      <c r="L1048" s="79" t="s">
        <v>2004</v>
      </c>
      <c r="Y1048" s="79" t="s">
        <v>1512</v>
      </c>
    </row>
    <row r="1049" spans="1:25" ht="12.75" customHeight="1" x14ac:dyDescent="0.2">
      <c r="A1049" s="91">
        <f t="shared" si="27"/>
        <v>1</v>
      </c>
      <c r="B1049" s="79" t="s">
        <v>1999</v>
      </c>
      <c r="C1049" s="79" t="s">
        <v>1999</v>
      </c>
      <c r="D1049" s="79" t="s">
        <v>1998</v>
      </c>
      <c r="E1049" s="55" t="s">
        <v>3224</v>
      </c>
      <c r="F1049" s="79" t="s">
        <v>1998</v>
      </c>
      <c r="G1049" s="79" t="s">
        <v>909</v>
      </c>
      <c r="H1049" s="79" t="s">
        <v>2782</v>
      </c>
      <c r="I1049" s="79" t="s">
        <v>2792</v>
      </c>
      <c r="J1049" s="79" t="s">
        <v>910</v>
      </c>
      <c r="K1049" s="79" t="s">
        <v>707</v>
      </c>
      <c r="L1049" s="79" t="s">
        <v>911</v>
      </c>
      <c r="Y1049" s="79" t="s">
        <v>1515</v>
      </c>
    </row>
    <row r="1050" spans="1:25" ht="12.75" customHeight="1" x14ac:dyDescent="0.2">
      <c r="A1050" s="91">
        <f t="shared" si="27"/>
        <v>1</v>
      </c>
      <c r="B1050" s="79" t="s">
        <v>1972</v>
      </c>
      <c r="C1050" s="79" t="s">
        <v>1972</v>
      </c>
      <c r="D1050" s="79" t="s">
        <v>1971</v>
      </c>
      <c r="E1050" s="55" t="s">
        <v>3283</v>
      </c>
      <c r="F1050" s="79" t="s">
        <v>1971</v>
      </c>
      <c r="G1050" s="79" t="s">
        <v>1973</v>
      </c>
      <c r="H1050" s="79" t="s">
        <v>2782</v>
      </c>
      <c r="I1050" s="79" t="s">
        <v>2784</v>
      </c>
      <c r="J1050" s="79" t="s">
        <v>1974</v>
      </c>
      <c r="K1050" s="79" t="s">
        <v>707</v>
      </c>
      <c r="L1050" s="79" t="s">
        <v>1975</v>
      </c>
      <c r="Y1050" s="79" t="s">
        <v>1507</v>
      </c>
    </row>
    <row r="1051" spans="1:25" ht="12.75" customHeight="1" x14ac:dyDescent="0.2">
      <c r="A1051" s="91">
        <f t="shared" si="27"/>
        <v>1</v>
      </c>
      <c r="B1051" s="79" t="s">
        <v>1982</v>
      </c>
      <c r="C1051" s="79" t="s">
        <v>1982</v>
      </c>
      <c r="D1051" s="79" t="s">
        <v>1981</v>
      </c>
      <c r="E1051" s="55" t="s">
        <v>3348</v>
      </c>
      <c r="F1051" s="79" t="s">
        <v>1981</v>
      </c>
      <c r="G1051" s="79" t="s">
        <v>1983</v>
      </c>
      <c r="H1051" s="79" t="s">
        <v>2782</v>
      </c>
      <c r="I1051" s="79" t="s">
        <v>2839</v>
      </c>
      <c r="J1051" s="79" t="s">
        <v>1134</v>
      </c>
      <c r="K1051" s="79" t="s">
        <v>707</v>
      </c>
      <c r="L1051" s="79" t="s">
        <v>1984</v>
      </c>
      <c r="Y1051" s="79" t="s">
        <v>2679</v>
      </c>
    </row>
    <row r="1052" spans="1:25" ht="12.75" customHeight="1" x14ac:dyDescent="0.2">
      <c r="A1052" s="91">
        <f t="shared" si="27"/>
        <v>1</v>
      </c>
      <c r="B1052" s="79" t="s">
        <v>1994</v>
      </c>
      <c r="C1052" s="79" t="s">
        <v>1994</v>
      </c>
      <c r="D1052" s="79" t="s">
        <v>1993</v>
      </c>
      <c r="E1052" s="55" t="s">
        <v>3350</v>
      </c>
      <c r="F1052" s="79" t="s">
        <v>1993</v>
      </c>
      <c r="G1052" s="79" t="s">
        <v>1995</v>
      </c>
      <c r="H1052" s="79" t="s">
        <v>2791</v>
      </c>
      <c r="I1052" s="79" t="s">
        <v>2809</v>
      </c>
      <c r="J1052" s="79" t="s">
        <v>1996</v>
      </c>
      <c r="K1052" s="79" t="s">
        <v>707</v>
      </c>
      <c r="L1052" s="79" t="s">
        <v>1997</v>
      </c>
      <c r="Y1052" s="79" t="s">
        <v>1544</v>
      </c>
    </row>
    <row r="1053" spans="1:25" ht="12.75" customHeight="1" x14ac:dyDescent="0.2">
      <c r="A1053" s="91">
        <f t="shared" si="27"/>
        <v>1</v>
      </c>
      <c r="B1053" s="79" t="s">
        <v>851</v>
      </c>
      <c r="C1053" s="79" t="s">
        <v>851</v>
      </c>
      <c r="D1053" s="79" t="s">
        <v>850</v>
      </c>
      <c r="E1053" s="55" t="s">
        <v>3282</v>
      </c>
      <c r="F1053" s="79" t="s">
        <v>850</v>
      </c>
      <c r="G1053" s="79" t="s">
        <v>852</v>
      </c>
      <c r="H1053" s="79" t="s">
        <v>2804</v>
      </c>
      <c r="I1053" s="79" t="s">
        <v>2813</v>
      </c>
      <c r="J1053" s="79" t="s">
        <v>717</v>
      </c>
      <c r="K1053" s="79" t="s">
        <v>707</v>
      </c>
      <c r="L1053" s="79" t="s">
        <v>718</v>
      </c>
      <c r="Y1053" s="79" t="s">
        <v>1536</v>
      </c>
    </row>
    <row r="1054" spans="1:25" ht="12.75" customHeight="1" x14ac:dyDescent="0.2">
      <c r="A1054" s="91">
        <f t="shared" si="27"/>
        <v>1</v>
      </c>
      <c r="B1054" s="79" t="s">
        <v>1685</v>
      </c>
      <c r="C1054" s="79" t="s">
        <v>1685</v>
      </c>
      <c r="D1054" s="79" t="s">
        <v>1684</v>
      </c>
      <c r="E1054" s="55" t="s">
        <v>3351</v>
      </c>
      <c r="F1054" s="79" t="s">
        <v>1684</v>
      </c>
      <c r="G1054" s="79" t="s">
        <v>1686</v>
      </c>
      <c r="H1054" s="79" t="s">
        <v>2834</v>
      </c>
      <c r="I1054" s="79" t="s">
        <v>2840</v>
      </c>
      <c r="J1054" s="79" t="s">
        <v>1664</v>
      </c>
      <c r="K1054" s="79" t="s">
        <v>707</v>
      </c>
      <c r="L1054" s="79" t="s">
        <v>1665</v>
      </c>
      <c r="Y1054" s="79" t="s">
        <v>1541</v>
      </c>
    </row>
    <row r="1055" spans="1:25" ht="12.75" customHeight="1" x14ac:dyDescent="0.2">
      <c r="A1055" s="91">
        <f t="shared" si="27"/>
        <v>1</v>
      </c>
      <c r="B1055" s="79" t="s">
        <v>2707</v>
      </c>
      <c r="C1055" s="79" t="s">
        <v>2707</v>
      </c>
      <c r="D1055" s="79" t="s">
        <v>2706</v>
      </c>
      <c r="E1055" s="55" t="s">
        <v>3352</v>
      </c>
      <c r="F1055" s="79" t="s">
        <v>2706</v>
      </c>
      <c r="G1055" s="79" t="s">
        <v>2708</v>
      </c>
      <c r="H1055" s="79" t="s">
        <v>2775</v>
      </c>
      <c r="I1055" s="79" t="s">
        <v>2794</v>
      </c>
      <c r="J1055" s="79" t="s">
        <v>2709</v>
      </c>
      <c r="K1055" s="79" t="s">
        <v>707</v>
      </c>
      <c r="L1055" s="79" t="s">
        <v>2710</v>
      </c>
      <c r="Y1055" s="79" t="s">
        <v>853</v>
      </c>
    </row>
    <row r="1056" spans="1:25" ht="12.75" customHeight="1" x14ac:dyDescent="0.2">
      <c r="A1056" s="91">
        <f t="shared" si="27"/>
        <v>1</v>
      </c>
      <c r="B1056" s="79" t="s">
        <v>1211</v>
      </c>
      <c r="C1056" s="79" t="s">
        <v>1211</v>
      </c>
      <c r="D1056" s="79" t="s">
        <v>1210</v>
      </c>
      <c r="E1056" s="55" t="s">
        <v>3353</v>
      </c>
      <c r="F1056" s="79" t="s">
        <v>1210</v>
      </c>
      <c r="G1056" s="79" t="s">
        <v>1212</v>
      </c>
      <c r="H1056" s="79" t="s">
        <v>2767</v>
      </c>
      <c r="I1056" s="79" t="s">
        <v>2841</v>
      </c>
      <c r="J1056" s="79" t="s">
        <v>1213</v>
      </c>
      <c r="K1056" s="79" t="s">
        <v>707</v>
      </c>
      <c r="L1056" s="79" t="s">
        <v>1214</v>
      </c>
      <c r="Y1056" s="79" t="s">
        <v>1661</v>
      </c>
    </row>
    <row r="1057" spans="1:25" ht="12.75" customHeight="1" x14ac:dyDescent="0.2">
      <c r="A1057" s="91">
        <f t="shared" si="27"/>
        <v>1</v>
      </c>
      <c r="B1057" s="79" t="s">
        <v>1211</v>
      </c>
      <c r="C1057" s="79" t="s">
        <v>1211</v>
      </c>
      <c r="D1057" s="79" t="s">
        <v>2602</v>
      </c>
      <c r="E1057" s="55" t="s">
        <v>3353</v>
      </c>
      <c r="F1057" s="79" t="s">
        <v>2602</v>
      </c>
      <c r="G1057" s="79" t="s">
        <v>1212</v>
      </c>
      <c r="H1057" s="79" t="s">
        <v>2767</v>
      </c>
      <c r="I1057" s="79" t="s">
        <v>2841</v>
      </c>
      <c r="J1057" s="79" t="s">
        <v>1213</v>
      </c>
      <c r="K1057" s="79" t="s">
        <v>707</v>
      </c>
      <c r="L1057" s="79" t="s">
        <v>1214</v>
      </c>
      <c r="Y1057" s="79" t="s">
        <v>1610</v>
      </c>
    </row>
    <row r="1058" spans="1:25" ht="12.75" customHeight="1" x14ac:dyDescent="0.2">
      <c r="A1058" s="91">
        <f t="shared" si="27"/>
        <v>1</v>
      </c>
      <c r="B1058" s="79" t="s">
        <v>1226</v>
      </c>
      <c r="C1058" s="79" t="s">
        <v>1226</v>
      </c>
      <c r="D1058" s="79" t="s">
        <v>1225</v>
      </c>
      <c r="E1058" s="55" t="s">
        <v>3354</v>
      </c>
      <c r="F1058" s="79" t="s">
        <v>1225</v>
      </c>
      <c r="G1058" s="79" t="s">
        <v>757</v>
      </c>
      <c r="H1058" s="79" t="s">
        <v>2786</v>
      </c>
      <c r="I1058" s="79" t="s">
        <v>2795</v>
      </c>
      <c r="J1058" s="79" t="s">
        <v>758</v>
      </c>
      <c r="K1058" s="79" t="s">
        <v>707</v>
      </c>
      <c r="L1058" s="79" t="s">
        <v>759</v>
      </c>
      <c r="Y1058" s="79" t="s">
        <v>1651</v>
      </c>
    </row>
    <row r="1059" spans="1:25" ht="12.75" customHeight="1" x14ac:dyDescent="0.2">
      <c r="A1059" s="91">
        <f t="shared" si="27"/>
        <v>1</v>
      </c>
      <c r="B1059" s="79" t="s">
        <v>1222</v>
      </c>
      <c r="C1059" s="79" t="s">
        <v>1222</v>
      </c>
      <c r="D1059" s="79" t="s">
        <v>1221</v>
      </c>
      <c r="E1059" s="55" t="s">
        <v>3355</v>
      </c>
      <c r="F1059" s="79" t="s">
        <v>1221</v>
      </c>
      <c r="G1059" s="79" t="s">
        <v>742</v>
      </c>
      <c r="H1059" s="79" t="s">
        <v>2786</v>
      </c>
      <c r="I1059" s="79" t="s">
        <v>2793</v>
      </c>
      <c r="J1059" s="79" t="s">
        <v>743</v>
      </c>
      <c r="K1059" s="79" t="s">
        <v>707</v>
      </c>
      <c r="L1059" s="79" t="s">
        <v>744</v>
      </c>
      <c r="Y1059" s="79" t="s">
        <v>2338</v>
      </c>
    </row>
    <row r="1060" spans="1:25" ht="12.75" customHeight="1" x14ac:dyDescent="0.2">
      <c r="A1060" s="91">
        <f t="shared" si="27"/>
        <v>1</v>
      </c>
      <c r="B1060" s="79" t="s">
        <v>1220</v>
      </c>
      <c r="C1060" s="79" t="s">
        <v>1220</v>
      </c>
      <c r="D1060" s="79" t="s">
        <v>1219</v>
      </c>
      <c r="E1060" s="55" t="s">
        <v>3236</v>
      </c>
      <c r="F1060" s="79" t="s">
        <v>1219</v>
      </c>
      <c r="G1060" s="79" t="s">
        <v>821</v>
      </c>
      <c r="H1060" s="79" t="s">
        <v>2762</v>
      </c>
      <c r="I1060" s="79" t="s">
        <v>2774</v>
      </c>
      <c r="J1060" s="79" t="s">
        <v>822</v>
      </c>
      <c r="K1060" s="79" t="s">
        <v>707</v>
      </c>
      <c r="L1060" s="79" t="s">
        <v>823</v>
      </c>
      <c r="Y1060" s="79" t="s">
        <v>2342</v>
      </c>
    </row>
    <row r="1061" spans="1:25" ht="12.75" customHeight="1" x14ac:dyDescent="0.2">
      <c r="A1061" s="91">
        <f t="shared" si="27"/>
        <v>1</v>
      </c>
      <c r="B1061" s="79" t="s">
        <v>1218</v>
      </c>
      <c r="C1061" s="79" t="s">
        <v>1218</v>
      </c>
      <c r="D1061" s="79" t="s">
        <v>1217</v>
      </c>
      <c r="E1061" s="55" t="s">
        <v>3299</v>
      </c>
      <c r="F1061" s="79" t="s">
        <v>1217</v>
      </c>
      <c r="G1061" s="79" t="s">
        <v>774</v>
      </c>
      <c r="H1061" s="79" t="s">
        <v>2762</v>
      </c>
      <c r="I1061" s="79" t="s">
        <v>2766</v>
      </c>
      <c r="J1061" s="79" t="s">
        <v>775</v>
      </c>
      <c r="K1061" s="79" t="s">
        <v>707</v>
      </c>
      <c r="L1061" s="79" t="s">
        <v>776</v>
      </c>
      <c r="Y1061" s="79" t="s">
        <v>2279</v>
      </c>
    </row>
    <row r="1062" spans="1:25" ht="12.75" customHeight="1" x14ac:dyDescent="0.2">
      <c r="A1062" s="91">
        <f t="shared" si="27"/>
        <v>1</v>
      </c>
      <c r="B1062" s="79" t="s">
        <v>1224</v>
      </c>
      <c r="C1062" s="79" t="s">
        <v>1224</v>
      </c>
      <c r="D1062" s="79" t="s">
        <v>1223</v>
      </c>
      <c r="E1062" s="55" t="s">
        <v>3356</v>
      </c>
      <c r="F1062" s="79" t="s">
        <v>1223</v>
      </c>
      <c r="G1062" s="79" t="s">
        <v>891</v>
      </c>
      <c r="H1062" s="79" t="s">
        <v>2759</v>
      </c>
      <c r="I1062" s="79" t="s">
        <v>2760</v>
      </c>
      <c r="J1062" s="79" t="s">
        <v>892</v>
      </c>
      <c r="K1062" s="79" t="s">
        <v>707</v>
      </c>
      <c r="L1062" s="79" t="s">
        <v>893</v>
      </c>
      <c r="Y1062" s="79" t="s">
        <v>2294</v>
      </c>
    </row>
    <row r="1063" spans="1:25" ht="12.75" customHeight="1" x14ac:dyDescent="0.2">
      <c r="A1063" s="91">
        <f t="shared" si="27"/>
        <v>1</v>
      </c>
      <c r="B1063" s="79" t="s">
        <v>1216</v>
      </c>
      <c r="C1063" s="79" t="s">
        <v>1216</v>
      </c>
      <c r="D1063" s="79" t="s">
        <v>1215</v>
      </c>
      <c r="E1063" s="55" t="s">
        <v>3357</v>
      </c>
      <c r="F1063" s="79" t="s">
        <v>1215</v>
      </c>
      <c r="G1063" s="79" t="s">
        <v>767</v>
      </c>
      <c r="H1063" s="79" t="s">
        <v>2767</v>
      </c>
      <c r="I1063" s="79" t="s">
        <v>2842</v>
      </c>
      <c r="J1063" s="79" t="s">
        <v>768</v>
      </c>
      <c r="K1063" s="79" t="s">
        <v>707</v>
      </c>
      <c r="L1063" s="79" t="s">
        <v>769</v>
      </c>
      <c r="Y1063" s="79" t="s">
        <v>2297</v>
      </c>
    </row>
    <row r="1064" spans="1:25" ht="12.75" customHeight="1" x14ac:dyDescent="0.2">
      <c r="A1064" s="91">
        <f t="shared" si="27"/>
        <v>1</v>
      </c>
      <c r="B1064" s="79" t="s">
        <v>1216</v>
      </c>
      <c r="C1064" s="79" t="s">
        <v>1216</v>
      </c>
      <c r="D1064" s="79" t="s">
        <v>2603</v>
      </c>
      <c r="E1064" s="55" t="s">
        <v>3357</v>
      </c>
      <c r="F1064" s="79" t="s">
        <v>2603</v>
      </c>
      <c r="G1064" s="79" t="s">
        <v>2604</v>
      </c>
      <c r="H1064" s="79" t="s">
        <v>2767</v>
      </c>
      <c r="I1064" s="79" t="s">
        <v>2842</v>
      </c>
      <c r="J1064" s="79" t="s">
        <v>768</v>
      </c>
      <c r="K1064" s="79" t="s">
        <v>707</v>
      </c>
      <c r="L1064" s="79" t="s">
        <v>769</v>
      </c>
      <c r="Y1064" s="79" t="s">
        <v>1469</v>
      </c>
    </row>
    <row r="1065" spans="1:25" ht="12.75" customHeight="1" x14ac:dyDescent="0.2">
      <c r="A1065" s="91">
        <f t="shared" si="27"/>
        <v>1</v>
      </c>
      <c r="B1065" s="79" t="s">
        <v>726</v>
      </c>
      <c r="C1065" s="79" t="s">
        <v>726</v>
      </c>
      <c r="D1065" s="79" t="s">
        <v>725</v>
      </c>
      <c r="E1065" s="55" t="s">
        <v>3358</v>
      </c>
      <c r="F1065" s="79" t="s">
        <v>725</v>
      </c>
      <c r="G1065" s="79" t="s">
        <v>727</v>
      </c>
      <c r="H1065" s="79" t="s">
        <v>2804</v>
      </c>
      <c r="I1065" s="79" t="s">
        <v>2813</v>
      </c>
      <c r="J1065" s="79" t="s">
        <v>728</v>
      </c>
      <c r="K1065" s="79" t="s">
        <v>707</v>
      </c>
      <c r="L1065" s="79" t="s">
        <v>729</v>
      </c>
      <c r="Y1065" s="79" t="s">
        <v>1467</v>
      </c>
    </row>
    <row r="1066" spans="1:25" ht="12.75" customHeight="1" x14ac:dyDescent="0.2">
      <c r="A1066" s="91">
        <f t="shared" si="27"/>
        <v>1</v>
      </c>
      <c r="B1066" s="79" t="s">
        <v>751</v>
      </c>
      <c r="C1066" s="79" t="s">
        <v>751</v>
      </c>
      <c r="D1066" s="79" t="s">
        <v>750</v>
      </c>
      <c r="E1066" s="55" t="s">
        <v>3359</v>
      </c>
      <c r="F1066" s="79" t="s">
        <v>750</v>
      </c>
      <c r="G1066" s="79" t="s">
        <v>752</v>
      </c>
      <c r="H1066" s="79" t="s">
        <v>2791</v>
      </c>
      <c r="I1066" s="79" t="s">
        <v>2824</v>
      </c>
      <c r="J1066" s="79" t="s">
        <v>753</v>
      </c>
      <c r="K1066" s="79" t="s">
        <v>707</v>
      </c>
      <c r="L1066" s="79" t="s">
        <v>754</v>
      </c>
      <c r="Y1066" s="79" t="s">
        <v>1471</v>
      </c>
    </row>
    <row r="1067" spans="1:25" ht="12.75" customHeight="1" x14ac:dyDescent="0.2">
      <c r="A1067" s="91">
        <f t="shared" si="27"/>
        <v>1</v>
      </c>
      <c r="B1067" s="79" t="s">
        <v>756</v>
      </c>
      <c r="C1067" s="79" t="s">
        <v>756</v>
      </c>
      <c r="D1067" s="79" t="s">
        <v>755</v>
      </c>
      <c r="E1067" s="55" t="s">
        <v>3354</v>
      </c>
      <c r="F1067" s="79" t="s">
        <v>755</v>
      </c>
      <c r="G1067" s="79" t="s">
        <v>757</v>
      </c>
      <c r="H1067" s="79" t="s">
        <v>2786</v>
      </c>
      <c r="I1067" s="79" t="s">
        <v>2795</v>
      </c>
      <c r="J1067" s="79" t="s">
        <v>758</v>
      </c>
      <c r="K1067" s="79" t="s">
        <v>707</v>
      </c>
      <c r="L1067" s="79" t="s">
        <v>759</v>
      </c>
      <c r="Y1067" s="79" t="s">
        <v>1790</v>
      </c>
    </row>
    <row r="1068" spans="1:25" ht="12.75" customHeight="1" x14ac:dyDescent="0.2">
      <c r="A1068" s="91">
        <f t="shared" si="27"/>
        <v>1</v>
      </c>
      <c r="B1068" s="79" t="s">
        <v>741</v>
      </c>
      <c r="C1068" s="79" t="s">
        <v>741</v>
      </c>
      <c r="D1068" s="79" t="s">
        <v>740</v>
      </c>
      <c r="E1068" s="55" t="s">
        <v>3355</v>
      </c>
      <c r="F1068" s="79" t="s">
        <v>740</v>
      </c>
      <c r="G1068" s="79" t="s">
        <v>742</v>
      </c>
      <c r="H1068" s="79" t="s">
        <v>2786</v>
      </c>
      <c r="I1068" s="79" t="s">
        <v>2793</v>
      </c>
      <c r="J1068" s="79" t="s">
        <v>743</v>
      </c>
      <c r="K1068" s="79" t="s">
        <v>707</v>
      </c>
      <c r="L1068" s="79" t="s">
        <v>744</v>
      </c>
      <c r="Y1068" s="79" t="s">
        <v>1522</v>
      </c>
    </row>
    <row r="1069" spans="1:25" ht="12.75" customHeight="1" x14ac:dyDescent="0.2">
      <c r="A1069" s="91">
        <f t="shared" si="27"/>
        <v>1</v>
      </c>
      <c r="B1069" s="79" t="s">
        <v>746</v>
      </c>
      <c r="C1069" s="79" t="s">
        <v>746</v>
      </c>
      <c r="D1069" s="79" t="s">
        <v>745</v>
      </c>
      <c r="E1069" s="55" t="s">
        <v>3300</v>
      </c>
      <c r="F1069" s="79" t="s">
        <v>745</v>
      </c>
      <c r="G1069" s="79" t="s">
        <v>747</v>
      </c>
      <c r="H1069" s="79" t="s">
        <v>2791</v>
      </c>
      <c r="I1069" s="79" t="s">
        <v>2809</v>
      </c>
      <c r="J1069" s="79" t="s">
        <v>748</v>
      </c>
      <c r="K1069" s="79" t="s">
        <v>707</v>
      </c>
      <c r="L1069" s="79" t="s">
        <v>749</v>
      </c>
      <c r="Y1069" s="79" t="s">
        <v>1308</v>
      </c>
    </row>
    <row r="1070" spans="1:25" ht="12.75" customHeight="1" x14ac:dyDescent="0.2">
      <c r="A1070" s="91">
        <f t="shared" si="27"/>
        <v>1</v>
      </c>
      <c r="B1070" s="79" t="s">
        <v>736</v>
      </c>
      <c r="C1070" s="79" t="s">
        <v>736</v>
      </c>
      <c r="D1070" s="79" t="s">
        <v>735</v>
      </c>
      <c r="E1070" s="55" t="s">
        <v>3360</v>
      </c>
      <c r="F1070" s="79" t="s">
        <v>735</v>
      </c>
      <c r="G1070" s="79" t="s">
        <v>737</v>
      </c>
      <c r="H1070" s="79" t="s">
        <v>2791</v>
      </c>
      <c r="I1070" s="79" t="s">
        <v>2812</v>
      </c>
      <c r="J1070" s="79" t="s">
        <v>738</v>
      </c>
      <c r="K1070" s="79" t="s">
        <v>707</v>
      </c>
      <c r="L1070" s="79" t="s">
        <v>739</v>
      </c>
      <c r="Y1070" s="79" t="s">
        <v>2299</v>
      </c>
    </row>
    <row r="1071" spans="1:25" ht="12.75" customHeight="1" x14ac:dyDescent="0.2">
      <c r="A1071" s="91">
        <f t="shared" si="27"/>
        <v>1</v>
      </c>
      <c r="B1071" s="79" t="s">
        <v>731</v>
      </c>
      <c r="C1071" s="79" t="s">
        <v>731</v>
      </c>
      <c r="D1071" s="79" t="s">
        <v>730</v>
      </c>
      <c r="E1071" s="55" t="s">
        <v>3361</v>
      </c>
      <c r="F1071" s="79" t="s">
        <v>730</v>
      </c>
      <c r="G1071" s="79" t="s">
        <v>732</v>
      </c>
      <c r="H1071" s="79" t="s">
        <v>2762</v>
      </c>
      <c r="I1071" s="79" t="s">
        <v>2763</v>
      </c>
      <c r="J1071" s="79" t="s">
        <v>733</v>
      </c>
      <c r="K1071" s="79" t="s">
        <v>707</v>
      </c>
      <c r="L1071" s="79" t="s">
        <v>3060</v>
      </c>
      <c r="Y1071" s="79" t="s">
        <v>1641</v>
      </c>
    </row>
    <row r="1072" spans="1:25" ht="12.75" customHeight="1" x14ac:dyDescent="0.2">
      <c r="A1072" s="91">
        <f t="shared" si="27"/>
        <v>1</v>
      </c>
      <c r="B1072" s="79" t="s">
        <v>872</v>
      </c>
      <c r="C1072" s="79" t="s">
        <v>872</v>
      </c>
      <c r="D1072" s="79" t="s">
        <v>871</v>
      </c>
      <c r="E1072" s="55" t="s">
        <v>3358</v>
      </c>
      <c r="F1072" s="79" t="s">
        <v>871</v>
      </c>
      <c r="G1072" s="79" t="s">
        <v>727</v>
      </c>
      <c r="H1072" s="79" t="s">
        <v>2804</v>
      </c>
      <c r="I1072" s="79" t="s">
        <v>2813</v>
      </c>
      <c r="J1072" s="79" t="s">
        <v>728</v>
      </c>
      <c r="K1072" s="79" t="s">
        <v>707</v>
      </c>
      <c r="L1072" s="79" t="s">
        <v>729</v>
      </c>
      <c r="Y1072" s="79" t="s">
        <v>2399</v>
      </c>
    </row>
    <row r="1073" spans="1:25" ht="12.75" customHeight="1" x14ac:dyDescent="0.2">
      <c r="A1073" s="91">
        <f t="shared" si="27"/>
        <v>1</v>
      </c>
      <c r="B1073" s="79" t="s">
        <v>903</v>
      </c>
      <c r="C1073" s="79" t="s">
        <v>903</v>
      </c>
      <c r="D1073" s="79" t="s">
        <v>902</v>
      </c>
      <c r="E1073" s="55" t="s">
        <v>3359</v>
      </c>
      <c r="F1073" s="79" t="s">
        <v>902</v>
      </c>
      <c r="G1073" s="79" t="s">
        <v>904</v>
      </c>
      <c r="H1073" s="79" t="s">
        <v>2791</v>
      </c>
      <c r="I1073" s="79" t="s">
        <v>2824</v>
      </c>
      <c r="J1073" s="79" t="s">
        <v>753</v>
      </c>
      <c r="K1073" s="79" t="s">
        <v>707</v>
      </c>
      <c r="L1073" s="79" t="s">
        <v>754</v>
      </c>
      <c r="Y1073" s="79" t="s">
        <v>2461</v>
      </c>
    </row>
    <row r="1074" spans="1:25" ht="12.75" customHeight="1" x14ac:dyDescent="0.2">
      <c r="A1074" s="91">
        <f t="shared" si="27"/>
        <v>1</v>
      </c>
      <c r="B1074" s="79" t="s">
        <v>906</v>
      </c>
      <c r="C1074" s="79" t="s">
        <v>906</v>
      </c>
      <c r="D1074" s="79" t="s">
        <v>905</v>
      </c>
      <c r="E1074" s="55" t="s">
        <v>3354</v>
      </c>
      <c r="F1074" s="79" t="s">
        <v>905</v>
      </c>
      <c r="G1074" s="79" t="s">
        <v>757</v>
      </c>
      <c r="H1074" s="79" t="s">
        <v>2786</v>
      </c>
      <c r="I1074" s="79" t="s">
        <v>2795</v>
      </c>
      <c r="J1074" s="79" t="s">
        <v>758</v>
      </c>
      <c r="K1074" s="79" t="s">
        <v>707</v>
      </c>
      <c r="L1074" s="79" t="s">
        <v>759</v>
      </c>
      <c r="Y1074" s="79" t="s">
        <v>2378</v>
      </c>
    </row>
    <row r="1075" spans="1:25" ht="12.75" customHeight="1" x14ac:dyDescent="0.2">
      <c r="A1075" s="91">
        <f t="shared" si="27"/>
        <v>1</v>
      </c>
      <c r="B1075" s="79" t="s">
        <v>890</v>
      </c>
      <c r="C1075" s="79" t="s">
        <v>890</v>
      </c>
      <c r="D1075" s="79" t="s">
        <v>889</v>
      </c>
      <c r="E1075" s="55" t="s">
        <v>3356</v>
      </c>
      <c r="F1075" s="79" t="s">
        <v>889</v>
      </c>
      <c r="G1075" s="79" t="s">
        <v>891</v>
      </c>
      <c r="H1075" s="79" t="s">
        <v>2759</v>
      </c>
      <c r="I1075" s="79" t="s">
        <v>2760</v>
      </c>
      <c r="J1075" s="79" t="s">
        <v>892</v>
      </c>
      <c r="K1075" s="79" t="s">
        <v>707</v>
      </c>
      <c r="L1075" s="79" t="s">
        <v>893</v>
      </c>
      <c r="Y1075" s="79" t="s">
        <v>2442</v>
      </c>
    </row>
    <row r="1076" spans="1:25" ht="12.75" customHeight="1" x14ac:dyDescent="0.2">
      <c r="A1076" s="91">
        <f t="shared" si="27"/>
        <v>1</v>
      </c>
      <c r="B1076" s="79" t="s">
        <v>888</v>
      </c>
      <c r="C1076" s="79" t="s">
        <v>888</v>
      </c>
      <c r="D1076" s="79" t="s">
        <v>887</v>
      </c>
      <c r="E1076" s="55" t="s">
        <v>3355</v>
      </c>
      <c r="F1076" s="79" t="s">
        <v>887</v>
      </c>
      <c r="G1076" s="79" t="s">
        <v>742</v>
      </c>
      <c r="H1076" s="79" t="s">
        <v>2786</v>
      </c>
      <c r="I1076" s="79" t="s">
        <v>2793</v>
      </c>
      <c r="J1076" s="79" t="s">
        <v>743</v>
      </c>
      <c r="K1076" s="79" t="s">
        <v>707</v>
      </c>
      <c r="L1076" s="79" t="s">
        <v>744</v>
      </c>
      <c r="Y1076" s="79" t="s">
        <v>2428</v>
      </c>
    </row>
    <row r="1077" spans="1:25" ht="12.75" customHeight="1" x14ac:dyDescent="0.2">
      <c r="A1077" s="91">
        <f t="shared" si="27"/>
        <v>1</v>
      </c>
      <c r="B1077" s="79" t="s">
        <v>895</v>
      </c>
      <c r="C1077" s="79" t="s">
        <v>895</v>
      </c>
      <c r="D1077" s="79" t="s">
        <v>894</v>
      </c>
      <c r="E1077" s="55" t="s">
        <v>3362</v>
      </c>
      <c r="F1077" s="79" t="s">
        <v>894</v>
      </c>
      <c r="G1077" s="79" t="s">
        <v>896</v>
      </c>
      <c r="H1077" s="79" t="s">
        <v>2762</v>
      </c>
      <c r="I1077" s="79" t="s">
        <v>2764</v>
      </c>
      <c r="J1077" s="79" t="s">
        <v>897</v>
      </c>
      <c r="K1077" s="79" t="s">
        <v>898</v>
      </c>
      <c r="L1077" s="79" t="s">
        <v>899</v>
      </c>
      <c r="Y1077" s="79" t="s">
        <v>2381</v>
      </c>
    </row>
    <row r="1078" spans="1:25" ht="12.75" customHeight="1" x14ac:dyDescent="0.2">
      <c r="A1078" s="91">
        <f t="shared" si="27"/>
        <v>1</v>
      </c>
      <c r="B1078" s="79" t="s">
        <v>901</v>
      </c>
      <c r="C1078" s="79" t="s">
        <v>901</v>
      </c>
      <c r="D1078" s="79" t="s">
        <v>900</v>
      </c>
      <c r="E1078" s="55" t="s">
        <v>3300</v>
      </c>
      <c r="F1078" s="79" t="s">
        <v>900</v>
      </c>
      <c r="G1078" s="79" t="s">
        <v>747</v>
      </c>
      <c r="H1078" s="79" t="s">
        <v>2791</v>
      </c>
      <c r="I1078" s="79" t="s">
        <v>2809</v>
      </c>
      <c r="J1078" s="79" t="s">
        <v>748</v>
      </c>
      <c r="K1078" s="79" t="s">
        <v>707</v>
      </c>
      <c r="L1078" s="79" t="s">
        <v>749</v>
      </c>
      <c r="Y1078" s="79" t="s">
        <v>1447</v>
      </c>
    </row>
    <row r="1079" spans="1:25" ht="12.75" customHeight="1" x14ac:dyDescent="0.2">
      <c r="A1079" s="91">
        <f t="shared" si="27"/>
        <v>1</v>
      </c>
      <c r="B1079" s="79" t="s">
        <v>883</v>
      </c>
      <c r="C1079" s="79" t="s">
        <v>883</v>
      </c>
      <c r="D1079" s="79" t="s">
        <v>882</v>
      </c>
      <c r="E1079" s="55" t="s">
        <v>3191</v>
      </c>
      <c r="F1079" s="79" t="s">
        <v>882</v>
      </c>
      <c r="G1079" s="79" t="s">
        <v>884</v>
      </c>
      <c r="H1079" s="79" t="s">
        <v>2762</v>
      </c>
      <c r="I1079" s="79" t="s">
        <v>2766</v>
      </c>
      <c r="J1079" s="79" t="s">
        <v>885</v>
      </c>
      <c r="K1079" s="79" t="s">
        <v>707</v>
      </c>
      <c r="L1079" s="79" t="s">
        <v>886</v>
      </c>
      <c r="Y1079" s="79" t="s">
        <v>1359</v>
      </c>
    </row>
    <row r="1080" spans="1:25" ht="12.75" customHeight="1" x14ac:dyDescent="0.2">
      <c r="A1080" s="91">
        <f t="shared" si="27"/>
        <v>1</v>
      </c>
      <c r="B1080" s="79" t="s">
        <v>881</v>
      </c>
      <c r="C1080" s="79" t="s">
        <v>881</v>
      </c>
      <c r="D1080" s="79" t="s">
        <v>880</v>
      </c>
      <c r="E1080" s="55" t="s">
        <v>3360</v>
      </c>
      <c r="F1080" s="79" t="s">
        <v>880</v>
      </c>
      <c r="G1080" s="79" t="s">
        <v>737</v>
      </c>
      <c r="H1080" s="79" t="s">
        <v>2791</v>
      </c>
      <c r="I1080" s="79" t="s">
        <v>2812</v>
      </c>
      <c r="J1080" s="79" t="s">
        <v>738</v>
      </c>
      <c r="K1080" s="79" t="s">
        <v>707</v>
      </c>
      <c r="L1080" s="79" t="s">
        <v>739</v>
      </c>
      <c r="Y1080" s="79" t="s">
        <v>1561</v>
      </c>
    </row>
    <row r="1081" spans="1:25" ht="12.75" customHeight="1" x14ac:dyDescent="0.2">
      <c r="A1081" s="91">
        <f t="shared" si="27"/>
        <v>1</v>
      </c>
      <c r="B1081" s="79" t="s">
        <v>874</v>
      </c>
      <c r="C1081" s="79" t="s">
        <v>874</v>
      </c>
      <c r="D1081" s="79" t="s">
        <v>873</v>
      </c>
      <c r="E1081" s="55" t="s">
        <v>3357</v>
      </c>
      <c r="F1081" s="79" t="s">
        <v>873</v>
      </c>
      <c r="G1081" s="79" t="s">
        <v>767</v>
      </c>
      <c r="H1081" s="79" t="s">
        <v>2767</v>
      </c>
      <c r="I1081" s="79" t="s">
        <v>2842</v>
      </c>
      <c r="J1081" s="79" t="s">
        <v>768</v>
      </c>
      <c r="K1081" s="79" t="s">
        <v>707</v>
      </c>
      <c r="L1081" s="79" t="s">
        <v>769</v>
      </c>
      <c r="Y1081" s="79" t="s">
        <v>1089</v>
      </c>
    </row>
    <row r="1082" spans="1:25" ht="12.75" customHeight="1" x14ac:dyDescent="0.2">
      <c r="A1082" s="91">
        <f t="shared" si="27"/>
        <v>1</v>
      </c>
      <c r="B1082" s="79" t="s">
        <v>876</v>
      </c>
      <c r="C1082" s="79" t="s">
        <v>876</v>
      </c>
      <c r="D1082" s="79" t="s">
        <v>875</v>
      </c>
      <c r="E1082" s="55" t="s">
        <v>3361</v>
      </c>
      <c r="F1082" s="79" t="s">
        <v>875</v>
      </c>
      <c r="G1082" s="79" t="s">
        <v>732</v>
      </c>
      <c r="H1082" s="79" t="s">
        <v>2762</v>
      </c>
      <c r="I1082" s="79" t="s">
        <v>2763</v>
      </c>
      <c r="J1082" s="79" t="s">
        <v>733</v>
      </c>
      <c r="K1082" s="79" t="s">
        <v>707</v>
      </c>
      <c r="L1082" s="79" t="s">
        <v>3060</v>
      </c>
      <c r="Y1082" s="79" t="s">
        <v>1093</v>
      </c>
    </row>
    <row r="1083" spans="1:25" ht="12.75" customHeight="1" x14ac:dyDescent="0.2">
      <c r="A1083" s="91">
        <f t="shared" si="27"/>
        <v>1</v>
      </c>
      <c r="B1083" s="79" t="s">
        <v>879</v>
      </c>
      <c r="C1083" s="79" t="s">
        <v>879</v>
      </c>
      <c r="D1083" s="79" t="s">
        <v>878</v>
      </c>
      <c r="E1083" s="55" t="s">
        <v>3299</v>
      </c>
      <c r="F1083" s="79" t="s">
        <v>878</v>
      </c>
      <c r="G1083" s="79" t="s">
        <v>774</v>
      </c>
      <c r="H1083" s="79" t="s">
        <v>2762</v>
      </c>
      <c r="I1083" s="79" t="s">
        <v>2766</v>
      </c>
      <c r="J1083" s="79" t="s">
        <v>775</v>
      </c>
      <c r="K1083" s="79" t="s">
        <v>707</v>
      </c>
      <c r="L1083" s="79" t="s">
        <v>776</v>
      </c>
      <c r="Y1083" s="79" t="s">
        <v>1091</v>
      </c>
    </row>
    <row r="1084" spans="1:25" ht="12.75" customHeight="1" x14ac:dyDescent="0.2">
      <c r="A1084" s="91">
        <f t="shared" si="27"/>
        <v>1</v>
      </c>
      <c r="B1084" s="79" t="s">
        <v>908</v>
      </c>
      <c r="C1084" s="79" t="s">
        <v>908</v>
      </c>
      <c r="D1084" s="79" t="s">
        <v>907</v>
      </c>
      <c r="E1084" s="55" t="s">
        <v>3224</v>
      </c>
      <c r="F1084" s="79" t="s">
        <v>907</v>
      </c>
      <c r="G1084" s="79" t="s">
        <v>909</v>
      </c>
      <c r="H1084" s="79" t="s">
        <v>2782</v>
      </c>
      <c r="I1084" s="79" t="s">
        <v>2792</v>
      </c>
      <c r="J1084" s="79" t="s">
        <v>910</v>
      </c>
      <c r="K1084" s="79" t="s">
        <v>707</v>
      </c>
      <c r="L1084" s="79" t="s">
        <v>911</v>
      </c>
      <c r="Y1084" s="79" t="s">
        <v>1087</v>
      </c>
    </row>
    <row r="1085" spans="1:25" ht="12.75" customHeight="1" x14ac:dyDescent="0.2">
      <c r="A1085" s="91">
        <f t="shared" si="27"/>
        <v>1</v>
      </c>
      <c r="B1085" s="79" t="s">
        <v>1657</v>
      </c>
      <c r="C1085" s="79" t="s">
        <v>1657</v>
      </c>
      <c r="D1085" s="79" t="s">
        <v>1656</v>
      </c>
      <c r="E1085" s="55" t="s">
        <v>3363</v>
      </c>
      <c r="F1085" s="79" t="s">
        <v>1656</v>
      </c>
      <c r="G1085" s="79" t="s">
        <v>1658</v>
      </c>
      <c r="H1085" s="79" t="s">
        <v>2834</v>
      </c>
      <c r="I1085" s="79" t="s">
        <v>2843</v>
      </c>
      <c r="J1085" s="79" t="s">
        <v>1659</v>
      </c>
      <c r="K1085" s="79" t="s">
        <v>707</v>
      </c>
      <c r="L1085" s="79" t="s">
        <v>1660</v>
      </c>
      <c r="Y1085" s="79" t="s">
        <v>1436</v>
      </c>
    </row>
    <row r="1086" spans="1:25" ht="12.75" customHeight="1" x14ac:dyDescent="0.2">
      <c r="A1086" s="91">
        <f t="shared" si="27"/>
        <v>1</v>
      </c>
      <c r="B1086" s="79" t="s">
        <v>1616</v>
      </c>
      <c r="C1086" s="79" t="s">
        <v>1616</v>
      </c>
      <c r="D1086" s="79" t="s">
        <v>1615</v>
      </c>
      <c r="E1086" s="55" t="s">
        <v>3364</v>
      </c>
      <c r="F1086" s="79" t="s">
        <v>1615</v>
      </c>
      <c r="G1086" s="79" t="s">
        <v>1617</v>
      </c>
      <c r="H1086" s="79" t="s">
        <v>2834</v>
      </c>
      <c r="I1086" s="79" t="s">
        <v>2844</v>
      </c>
      <c r="J1086" s="79" t="s">
        <v>1618</v>
      </c>
      <c r="K1086" s="79" t="s">
        <v>707</v>
      </c>
      <c r="L1086" s="79" t="s">
        <v>1619</v>
      </c>
      <c r="Y1086" s="79" t="s">
        <v>2445</v>
      </c>
    </row>
    <row r="1087" spans="1:25" ht="12.75" customHeight="1" x14ac:dyDescent="0.2">
      <c r="A1087" s="91">
        <f t="shared" ref="A1087:A1150" si="28">IF(B1087=B388,1,"CHECK")</f>
        <v>1</v>
      </c>
      <c r="B1087" s="79" t="s">
        <v>1616</v>
      </c>
      <c r="C1087" s="79" t="s">
        <v>1616</v>
      </c>
      <c r="D1087" s="79" t="s">
        <v>2687</v>
      </c>
      <c r="E1087" s="55" t="s">
        <v>3364</v>
      </c>
      <c r="F1087" s="79" t="s">
        <v>2687</v>
      </c>
      <c r="G1087" s="79" t="s">
        <v>2688</v>
      </c>
      <c r="H1087" s="79" t="s">
        <v>2834</v>
      </c>
      <c r="I1087" s="79" t="s">
        <v>2844</v>
      </c>
      <c r="J1087" s="79" t="s">
        <v>1618</v>
      </c>
      <c r="K1087" s="79" t="s">
        <v>707</v>
      </c>
      <c r="L1087" s="79" t="s">
        <v>1619</v>
      </c>
      <c r="Y1087" s="79" t="s">
        <v>1412</v>
      </c>
    </row>
    <row r="1088" spans="1:25" ht="12.75" customHeight="1" x14ac:dyDescent="0.2">
      <c r="A1088" s="91">
        <f t="shared" si="28"/>
        <v>1</v>
      </c>
      <c r="B1088" s="79" t="s">
        <v>1625</v>
      </c>
      <c r="C1088" s="79" t="s">
        <v>1625</v>
      </c>
      <c r="D1088" s="79" t="s">
        <v>1624</v>
      </c>
      <c r="E1088" s="55" t="s">
        <v>3354</v>
      </c>
      <c r="F1088" s="79" t="s">
        <v>1624</v>
      </c>
      <c r="G1088" s="79" t="s">
        <v>757</v>
      </c>
      <c r="H1088" s="79" t="s">
        <v>2786</v>
      </c>
      <c r="I1088" s="79" t="s">
        <v>2795</v>
      </c>
      <c r="J1088" s="79" t="s">
        <v>758</v>
      </c>
      <c r="K1088" s="79" t="s">
        <v>707</v>
      </c>
      <c r="L1088" s="79" t="s">
        <v>759</v>
      </c>
      <c r="Y1088" s="79" t="s">
        <v>2098</v>
      </c>
    </row>
    <row r="1089" spans="1:25" ht="12.75" customHeight="1" x14ac:dyDescent="0.2">
      <c r="A1089" s="91">
        <f t="shared" si="28"/>
        <v>1</v>
      </c>
      <c r="B1089" s="79" t="s">
        <v>1621</v>
      </c>
      <c r="C1089" s="79" t="s">
        <v>1621</v>
      </c>
      <c r="D1089" s="79" t="s">
        <v>1620</v>
      </c>
      <c r="E1089" s="55" t="s">
        <v>3299</v>
      </c>
      <c r="F1089" s="79" t="s">
        <v>1620</v>
      </c>
      <c r="G1089" s="79" t="s">
        <v>774</v>
      </c>
      <c r="H1089" s="79" t="s">
        <v>2762</v>
      </c>
      <c r="I1089" s="79" t="s">
        <v>2766</v>
      </c>
      <c r="J1089" s="79" t="s">
        <v>775</v>
      </c>
      <c r="K1089" s="79" t="s">
        <v>707</v>
      </c>
      <c r="L1089" s="79" t="s">
        <v>776</v>
      </c>
      <c r="Y1089" s="79" t="s">
        <v>1966</v>
      </c>
    </row>
    <row r="1090" spans="1:25" ht="12.75" customHeight="1" x14ac:dyDescent="0.2">
      <c r="A1090" s="91">
        <f t="shared" si="28"/>
        <v>1</v>
      </c>
      <c r="B1090" s="79" t="s">
        <v>1623</v>
      </c>
      <c r="C1090" s="79" t="s">
        <v>1623</v>
      </c>
      <c r="D1090" s="79" t="s">
        <v>1622</v>
      </c>
      <c r="E1090" s="55" t="s">
        <v>3356</v>
      </c>
      <c r="F1090" s="79" t="s">
        <v>1622</v>
      </c>
      <c r="G1090" s="79" t="s">
        <v>891</v>
      </c>
      <c r="H1090" s="79" t="s">
        <v>2759</v>
      </c>
      <c r="I1090" s="79" t="s">
        <v>2760</v>
      </c>
      <c r="J1090" s="79" t="s">
        <v>892</v>
      </c>
      <c r="K1090" s="79" t="s">
        <v>707</v>
      </c>
      <c r="L1090" s="79" t="s">
        <v>893</v>
      </c>
      <c r="Y1090" s="79" t="s">
        <v>1115</v>
      </c>
    </row>
    <row r="1091" spans="1:25" ht="12.75" customHeight="1" x14ac:dyDescent="0.2">
      <c r="A1091" s="91">
        <f t="shared" si="28"/>
        <v>1</v>
      </c>
      <c r="B1091" s="79" t="s">
        <v>798</v>
      </c>
      <c r="C1091" s="79" t="s">
        <v>798</v>
      </c>
      <c r="D1091" s="79" t="s">
        <v>797</v>
      </c>
      <c r="E1091" s="55" t="s">
        <v>3365</v>
      </c>
      <c r="F1091" s="79" t="s">
        <v>797</v>
      </c>
      <c r="G1091" s="79" t="s">
        <v>799</v>
      </c>
      <c r="H1091" s="79" t="s">
        <v>2804</v>
      </c>
      <c r="I1091" s="79" t="s">
        <v>2845</v>
      </c>
      <c r="J1091" s="79" t="s">
        <v>800</v>
      </c>
      <c r="K1091" s="79" t="s">
        <v>707</v>
      </c>
      <c r="L1091" s="79" t="s">
        <v>801</v>
      </c>
      <c r="Y1091" s="79" t="s">
        <v>2590</v>
      </c>
    </row>
    <row r="1092" spans="1:25" ht="12.75" customHeight="1" x14ac:dyDescent="0.2">
      <c r="A1092" s="91">
        <f t="shared" si="28"/>
        <v>1</v>
      </c>
      <c r="B1092" s="79" t="s">
        <v>761</v>
      </c>
      <c r="C1092" s="79" t="s">
        <v>761</v>
      </c>
      <c r="D1092" s="79" t="s">
        <v>760</v>
      </c>
      <c r="E1092" s="55" t="s">
        <v>3366</v>
      </c>
      <c r="F1092" s="79" t="s">
        <v>760</v>
      </c>
      <c r="G1092" s="79" t="s">
        <v>762</v>
      </c>
      <c r="H1092" s="79" t="s">
        <v>2804</v>
      </c>
      <c r="I1092" s="79" t="s">
        <v>2846</v>
      </c>
      <c r="J1092" s="79" t="s">
        <v>763</v>
      </c>
      <c r="K1092" s="79" t="s">
        <v>707</v>
      </c>
      <c r="L1092" s="79" t="s">
        <v>764</v>
      </c>
      <c r="Y1092" s="79" t="s">
        <v>2540</v>
      </c>
    </row>
    <row r="1093" spans="1:25" ht="12.75" customHeight="1" x14ac:dyDescent="0.2">
      <c r="A1093" s="91">
        <f t="shared" si="28"/>
        <v>1</v>
      </c>
      <c r="B1093" s="79" t="s">
        <v>771</v>
      </c>
      <c r="C1093" s="79" t="s">
        <v>771</v>
      </c>
      <c r="D1093" s="79" t="s">
        <v>770</v>
      </c>
      <c r="E1093" s="55" t="s">
        <v>3367</v>
      </c>
      <c r="F1093" s="79" t="s">
        <v>770</v>
      </c>
      <c r="G1093" s="79" t="s">
        <v>732</v>
      </c>
      <c r="H1093" s="79" t="s">
        <v>2762</v>
      </c>
      <c r="I1093" s="79" t="s">
        <v>2763</v>
      </c>
      <c r="J1093" s="79" t="s">
        <v>733</v>
      </c>
      <c r="K1093" s="79" t="s">
        <v>707</v>
      </c>
      <c r="L1093" s="79" t="s">
        <v>734</v>
      </c>
      <c r="Y1093" s="79" t="s">
        <v>2543</v>
      </c>
    </row>
    <row r="1094" spans="1:25" ht="12.75" customHeight="1" x14ac:dyDescent="0.2">
      <c r="A1094" s="91">
        <f t="shared" si="28"/>
        <v>1</v>
      </c>
      <c r="B1094" s="79" t="s">
        <v>773</v>
      </c>
      <c r="C1094" s="79" t="s">
        <v>773</v>
      </c>
      <c r="D1094" s="79" t="s">
        <v>772</v>
      </c>
      <c r="E1094" s="55" t="s">
        <v>3299</v>
      </c>
      <c r="F1094" s="79" t="s">
        <v>772</v>
      </c>
      <c r="G1094" s="79" t="s">
        <v>774</v>
      </c>
      <c r="H1094" s="79" t="s">
        <v>2762</v>
      </c>
      <c r="I1094" s="79" t="s">
        <v>2766</v>
      </c>
      <c r="J1094" s="79" t="s">
        <v>775</v>
      </c>
      <c r="K1094" s="79" t="s">
        <v>707</v>
      </c>
      <c r="L1094" s="79" t="s">
        <v>776</v>
      </c>
      <c r="Y1094" s="79" t="s">
        <v>2574</v>
      </c>
    </row>
    <row r="1095" spans="1:25" ht="12.75" customHeight="1" x14ac:dyDescent="0.2">
      <c r="A1095" s="91">
        <f t="shared" si="28"/>
        <v>1</v>
      </c>
      <c r="B1095" s="79" t="s">
        <v>766</v>
      </c>
      <c r="C1095" s="79" t="s">
        <v>766</v>
      </c>
      <c r="D1095" s="79" t="s">
        <v>765</v>
      </c>
      <c r="E1095" s="55" t="s">
        <v>3357</v>
      </c>
      <c r="F1095" s="79" t="s">
        <v>765</v>
      </c>
      <c r="G1095" s="79" t="s">
        <v>767</v>
      </c>
      <c r="H1095" s="79" t="s">
        <v>2767</v>
      </c>
      <c r="I1095" s="79" t="s">
        <v>2842</v>
      </c>
      <c r="J1095" s="79" t="s">
        <v>768</v>
      </c>
      <c r="K1095" s="79" t="s">
        <v>707</v>
      </c>
      <c r="L1095" s="79" t="s">
        <v>769</v>
      </c>
      <c r="Y1095" s="79" t="s">
        <v>2577</v>
      </c>
    </row>
    <row r="1096" spans="1:25" ht="12.75" customHeight="1" x14ac:dyDescent="0.2">
      <c r="A1096" s="91">
        <f t="shared" si="28"/>
        <v>1</v>
      </c>
      <c r="B1096" s="79" t="s">
        <v>778</v>
      </c>
      <c r="C1096" s="79" t="s">
        <v>778</v>
      </c>
      <c r="D1096" s="79" t="s">
        <v>777</v>
      </c>
      <c r="E1096" s="55" t="s">
        <v>3368</v>
      </c>
      <c r="F1096" s="79" t="s">
        <v>777</v>
      </c>
      <c r="G1096" s="79" t="s">
        <v>779</v>
      </c>
      <c r="H1096" s="79" t="s">
        <v>2804</v>
      </c>
      <c r="I1096" s="79" t="s">
        <v>2805</v>
      </c>
      <c r="J1096" s="79" t="s">
        <v>780</v>
      </c>
      <c r="K1096" s="79" t="s">
        <v>707</v>
      </c>
      <c r="L1096" s="79" t="s">
        <v>781</v>
      </c>
      <c r="Y1096" s="79" t="s">
        <v>2383</v>
      </c>
    </row>
    <row r="1097" spans="1:25" ht="12.75" customHeight="1" x14ac:dyDescent="0.2">
      <c r="A1097" s="91">
        <f t="shared" si="28"/>
        <v>1</v>
      </c>
      <c r="B1097" s="79" t="s">
        <v>778</v>
      </c>
      <c r="C1097" s="79" t="s">
        <v>778</v>
      </c>
      <c r="D1097" s="79" t="s">
        <v>2581</v>
      </c>
      <c r="E1097" s="55" t="s">
        <v>3368</v>
      </c>
      <c r="F1097" s="79" t="s">
        <v>2581</v>
      </c>
      <c r="G1097" s="79" t="s">
        <v>779</v>
      </c>
      <c r="H1097" s="79" t="s">
        <v>2804</v>
      </c>
      <c r="I1097" s="79" t="s">
        <v>2805</v>
      </c>
      <c r="J1097" s="79" t="s">
        <v>780</v>
      </c>
      <c r="K1097" s="79" t="s">
        <v>707</v>
      </c>
      <c r="L1097" s="79" t="s">
        <v>781</v>
      </c>
      <c r="Y1097" s="79" t="s">
        <v>2390</v>
      </c>
    </row>
    <row r="1098" spans="1:25" ht="12.75" customHeight="1" x14ac:dyDescent="0.2">
      <c r="A1098" s="91">
        <f t="shared" si="28"/>
        <v>1</v>
      </c>
      <c r="B1098" s="79" t="s">
        <v>2408</v>
      </c>
      <c r="C1098" s="79" t="s">
        <v>2408</v>
      </c>
      <c r="D1098" s="79" t="s">
        <v>2407</v>
      </c>
      <c r="E1098" s="55" t="s">
        <v>3332</v>
      </c>
      <c r="F1098" s="79" t="s">
        <v>2407</v>
      </c>
      <c r="G1098" s="79" t="s">
        <v>1354</v>
      </c>
      <c r="H1098" s="79" t="s">
        <v>2762</v>
      </c>
      <c r="I1098" s="79" t="s">
        <v>2763</v>
      </c>
      <c r="J1098" s="79" t="s">
        <v>733</v>
      </c>
      <c r="K1098" s="79" t="s">
        <v>707</v>
      </c>
      <c r="L1098" s="79" t="s">
        <v>877</v>
      </c>
      <c r="Y1098" s="79" t="s">
        <v>2392</v>
      </c>
    </row>
    <row r="1099" spans="1:25" ht="12.75" customHeight="1" x14ac:dyDescent="0.2">
      <c r="A1099" s="91">
        <f t="shared" si="28"/>
        <v>1</v>
      </c>
      <c r="B1099" s="79" t="s">
        <v>2410</v>
      </c>
      <c r="C1099" s="79" t="s">
        <v>2410</v>
      </c>
      <c r="D1099" s="79" t="s">
        <v>2409</v>
      </c>
      <c r="E1099" s="55" t="s">
        <v>3299</v>
      </c>
      <c r="F1099" s="79" t="s">
        <v>2409</v>
      </c>
      <c r="G1099" s="79" t="s">
        <v>2411</v>
      </c>
      <c r="H1099" s="79" t="s">
        <v>2775</v>
      </c>
      <c r="I1099" s="79" t="s">
        <v>2766</v>
      </c>
      <c r="J1099" s="79" t="s">
        <v>775</v>
      </c>
      <c r="K1099" s="79" t="s">
        <v>707</v>
      </c>
      <c r="L1099" s="79" t="s">
        <v>776</v>
      </c>
      <c r="Y1099" s="79" t="s">
        <v>2388</v>
      </c>
    </row>
    <row r="1100" spans="1:25" ht="12.75" customHeight="1" x14ac:dyDescent="0.2">
      <c r="A1100" s="91">
        <f t="shared" si="28"/>
        <v>1</v>
      </c>
      <c r="B1100" s="79" t="s">
        <v>2416</v>
      </c>
      <c r="C1100" s="79" t="s">
        <v>2416</v>
      </c>
      <c r="D1100" s="79" t="s">
        <v>2415</v>
      </c>
      <c r="E1100" s="55" t="s">
        <v>3355</v>
      </c>
      <c r="F1100" s="79" t="s">
        <v>2415</v>
      </c>
      <c r="G1100" s="79" t="s">
        <v>2417</v>
      </c>
      <c r="H1100" s="79" t="s">
        <v>2786</v>
      </c>
      <c r="I1100" s="79" t="s">
        <v>2793</v>
      </c>
      <c r="J1100" s="79" t="s">
        <v>743</v>
      </c>
      <c r="K1100" s="79" t="s">
        <v>707</v>
      </c>
      <c r="L1100" s="79" t="s">
        <v>744</v>
      </c>
      <c r="Y1100" s="79" t="s">
        <v>932</v>
      </c>
    </row>
    <row r="1101" spans="1:25" ht="12.75" customHeight="1" x14ac:dyDescent="0.2">
      <c r="A1101" s="91">
        <f t="shared" si="28"/>
        <v>1</v>
      </c>
      <c r="B1101" s="79" t="s">
        <v>2413</v>
      </c>
      <c r="C1101" s="79" t="s">
        <v>2413</v>
      </c>
      <c r="D1101" s="79" t="s">
        <v>2412</v>
      </c>
      <c r="E1101" s="55" t="s">
        <v>3360</v>
      </c>
      <c r="F1101" s="79" t="s">
        <v>2412</v>
      </c>
      <c r="G1101" s="79" t="s">
        <v>2414</v>
      </c>
      <c r="H1101" s="79" t="s">
        <v>2791</v>
      </c>
      <c r="I1101" s="79" t="s">
        <v>2812</v>
      </c>
      <c r="J1101" s="79" t="s">
        <v>738</v>
      </c>
      <c r="K1101" s="79" t="s">
        <v>707</v>
      </c>
      <c r="L1101" s="79" t="s">
        <v>739</v>
      </c>
      <c r="Y1101" s="79" t="s">
        <v>927</v>
      </c>
    </row>
    <row r="1102" spans="1:25" ht="12.75" customHeight="1" x14ac:dyDescent="0.2">
      <c r="A1102" s="91">
        <f t="shared" si="28"/>
        <v>1</v>
      </c>
      <c r="B1102" s="79" t="s">
        <v>2405</v>
      </c>
      <c r="C1102" s="79" t="s">
        <v>2405</v>
      </c>
      <c r="D1102" s="79" t="s">
        <v>2404</v>
      </c>
      <c r="E1102" s="55" t="s">
        <v>3357</v>
      </c>
      <c r="F1102" s="79" t="s">
        <v>2404</v>
      </c>
      <c r="G1102" s="79" t="s">
        <v>2406</v>
      </c>
      <c r="H1102" s="79" t="s">
        <v>2767</v>
      </c>
      <c r="I1102" s="79" t="s">
        <v>2842</v>
      </c>
      <c r="J1102" s="79" t="s">
        <v>768</v>
      </c>
      <c r="K1102" s="79" t="s">
        <v>707</v>
      </c>
      <c r="L1102" s="79" t="s">
        <v>769</v>
      </c>
      <c r="Y1102" s="79" t="s">
        <v>1199</v>
      </c>
    </row>
    <row r="1103" spans="1:25" ht="12.75" customHeight="1" x14ac:dyDescent="0.2">
      <c r="A1103" s="91">
        <f t="shared" si="28"/>
        <v>1</v>
      </c>
      <c r="B1103" s="79" t="s">
        <v>1637</v>
      </c>
      <c r="C1103" s="79" t="s">
        <v>1637</v>
      </c>
      <c r="D1103" s="79" t="s">
        <v>1636</v>
      </c>
      <c r="E1103" s="55" t="s">
        <v>3369</v>
      </c>
      <c r="F1103" s="79" t="s">
        <v>1636</v>
      </c>
      <c r="G1103" s="79" t="s">
        <v>1638</v>
      </c>
      <c r="H1103" s="79" t="s">
        <v>2834</v>
      </c>
      <c r="I1103" s="79" t="s">
        <v>2757</v>
      </c>
      <c r="J1103" s="79" t="s">
        <v>1639</v>
      </c>
      <c r="K1103" s="79" t="s">
        <v>707</v>
      </c>
      <c r="L1103" s="79" t="s">
        <v>1640</v>
      </c>
      <c r="Y1103" s="79" t="s">
        <v>1151</v>
      </c>
    </row>
    <row r="1104" spans="1:25" ht="12.75" customHeight="1" x14ac:dyDescent="0.2">
      <c r="A1104" s="91">
        <f t="shared" si="28"/>
        <v>1</v>
      </c>
      <c r="B1104" s="79" t="s">
        <v>1637</v>
      </c>
      <c r="C1104" s="79" t="s">
        <v>1637</v>
      </c>
      <c r="D1104" s="79" t="s">
        <v>2691</v>
      </c>
      <c r="E1104" s="55" t="s">
        <v>3369</v>
      </c>
      <c r="F1104" s="79" t="s">
        <v>2691</v>
      </c>
      <c r="G1104" s="79" t="s">
        <v>1638</v>
      </c>
      <c r="H1104" s="79" t="s">
        <v>2834</v>
      </c>
      <c r="I1104" s="79" t="s">
        <v>2757</v>
      </c>
      <c r="J1104" s="79" t="s">
        <v>1639</v>
      </c>
      <c r="K1104" s="79" t="s">
        <v>707</v>
      </c>
      <c r="L1104" s="79" t="s">
        <v>1640</v>
      </c>
      <c r="Y1104" s="79" t="s">
        <v>1100</v>
      </c>
    </row>
    <row r="1105" spans="1:25" ht="12.75" customHeight="1" x14ac:dyDescent="0.2">
      <c r="A1105" s="91">
        <f t="shared" si="28"/>
        <v>1</v>
      </c>
      <c r="B1105" s="79" t="s">
        <v>783</v>
      </c>
      <c r="C1105" s="79" t="s">
        <v>783</v>
      </c>
      <c r="D1105" s="79" t="s">
        <v>782</v>
      </c>
      <c r="E1105" s="55" t="s">
        <v>3370</v>
      </c>
      <c r="F1105" s="79" t="s">
        <v>782</v>
      </c>
      <c r="G1105" s="79" t="s">
        <v>784</v>
      </c>
      <c r="H1105" s="79" t="s">
        <v>2804</v>
      </c>
      <c r="I1105" s="79" t="s">
        <v>2847</v>
      </c>
      <c r="J1105" s="79" t="s">
        <v>785</v>
      </c>
      <c r="K1105" s="79" t="s">
        <v>707</v>
      </c>
      <c r="L1105" s="79" t="s">
        <v>786</v>
      </c>
      <c r="Y1105" s="79" t="s">
        <v>1105</v>
      </c>
    </row>
    <row r="1106" spans="1:25" ht="12.75" customHeight="1" x14ac:dyDescent="0.2">
      <c r="A1106" s="91">
        <f t="shared" si="28"/>
        <v>1</v>
      </c>
      <c r="B1106" s="79" t="s">
        <v>867</v>
      </c>
      <c r="C1106" s="79" t="s">
        <v>867</v>
      </c>
      <c r="D1106" s="79" t="s">
        <v>866</v>
      </c>
      <c r="E1106" s="55" t="s">
        <v>3371</v>
      </c>
      <c r="F1106" s="79" t="s">
        <v>866</v>
      </c>
      <c r="G1106" s="79" t="s">
        <v>868</v>
      </c>
      <c r="H1106" s="79" t="s">
        <v>2804</v>
      </c>
      <c r="I1106" s="79" t="s">
        <v>2847</v>
      </c>
      <c r="J1106" s="79" t="s">
        <v>869</v>
      </c>
      <c r="K1106" s="79" t="s">
        <v>707</v>
      </c>
      <c r="L1106" s="79" t="s">
        <v>870</v>
      </c>
      <c r="Y1106" s="79" t="s">
        <v>1110</v>
      </c>
    </row>
    <row r="1107" spans="1:25" ht="12.75" customHeight="1" x14ac:dyDescent="0.2">
      <c r="A1107" s="91">
        <f t="shared" si="28"/>
        <v>1</v>
      </c>
      <c r="B1107" s="79" t="s">
        <v>2456</v>
      </c>
      <c r="C1107" s="79" t="s">
        <v>2456</v>
      </c>
      <c r="D1107" s="79" t="s">
        <v>2455</v>
      </c>
      <c r="E1107" s="55" t="s">
        <v>3299</v>
      </c>
      <c r="F1107" s="79" t="s">
        <v>2455</v>
      </c>
      <c r="G1107" s="79" t="s">
        <v>2411</v>
      </c>
      <c r="H1107" s="79" t="s">
        <v>2762</v>
      </c>
      <c r="I1107" s="79" t="s">
        <v>2766</v>
      </c>
      <c r="J1107" s="79" t="s">
        <v>775</v>
      </c>
      <c r="K1107" s="79" t="s">
        <v>707</v>
      </c>
      <c r="L1107" s="79" t="s">
        <v>776</v>
      </c>
      <c r="Y1107" s="79" t="s">
        <v>1174</v>
      </c>
    </row>
    <row r="1108" spans="1:25" ht="12.75" customHeight="1" x14ac:dyDescent="0.2">
      <c r="A1108" s="91">
        <f t="shared" si="28"/>
        <v>1</v>
      </c>
      <c r="B1108" s="79" t="s">
        <v>2454</v>
      </c>
      <c r="C1108" s="79" t="s">
        <v>2454</v>
      </c>
      <c r="D1108" s="79" t="s">
        <v>2453</v>
      </c>
      <c r="E1108" s="55" t="s">
        <v>3332</v>
      </c>
      <c r="F1108" s="79" t="s">
        <v>2453</v>
      </c>
      <c r="G1108" s="79" t="s">
        <v>1354</v>
      </c>
      <c r="H1108" s="79" t="s">
        <v>2762</v>
      </c>
      <c r="I1108" s="79" t="s">
        <v>2763</v>
      </c>
      <c r="J1108" s="79" t="s">
        <v>733</v>
      </c>
      <c r="K1108" s="79" t="s">
        <v>707</v>
      </c>
      <c r="L1108" s="79" t="s">
        <v>877</v>
      </c>
      <c r="Y1108" s="79" t="s">
        <v>1179</v>
      </c>
    </row>
    <row r="1109" spans="1:25" ht="12.75" customHeight="1" x14ac:dyDescent="0.2">
      <c r="A1109" s="91">
        <f t="shared" si="28"/>
        <v>1</v>
      </c>
      <c r="B1109" s="79" t="s">
        <v>2460</v>
      </c>
      <c r="C1109" s="79" t="s">
        <v>2460</v>
      </c>
      <c r="D1109" s="79" t="s">
        <v>2459</v>
      </c>
      <c r="E1109" s="55" t="s">
        <v>3355</v>
      </c>
      <c r="F1109" s="79" t="s">
        <v>2459</v>
      </c>
      <c r="G1109" s="79" t="s">
        <v>2417</v>
      </c>
      <c r="H1109" s="79" t="s">
        <v>2786</v>
      </c>
      <c r="I1109" s="79" t="s">
        <v>2793</v>
      </c>
      <c r="J1109" s="79" t="s">
        <v>743</v>
      </c>
      <c r="K1109" s="79" t="s">
        <v>707</v>
      </c>
      <c r="L1109" s="79" t="s">
        <v>744</v>
      </c>
      <c r="Y1109" s="79" t="s">
        <v>787</v>
      </c>
    </row>
    <row r="1110" spans="1:25" ht="12.75" customHeight="1" x14ac:dyDescent="0.2">
      <c r="A1110" s="91">
        <f t="shared" si="28"/>
        <v>1</v>
      </c>
      <c r="B1110" s="79" t="s">
        <v>2451</v>
      </c>
      <c r="C1110" s="79" t="s">
        <v>2451</v>
      </c>
      <c r="D1110" s="79" t="s">
        <v>2450</v>
      </c>
      <c r="E1110" s="55" t="s">
        <v>3357</v>
      </c>
      <c r="F1110" s="79" t="s">
        <v>2450</v>
      </c>
      <c r="G1110" s="79" t="s">
        <v>2452</v>
      </c>
      <c r="H1110" s="79" t="s">
        <v>2767</v>
      </c>
      <c r="I1110" s="79" t="s">
        <v>2842</v>
      </c>
      <c r="J1110" s="79" t="s">
        <v>768</v>
      </c>
      <c r="K1110" s="79" t="s">
        <v>707</v>
      </c>
      <c r="L1110" s="79" t="s">
        <v>769</v>
      </c>
      <c r="Y1110" s="79" t="s">
        <v>1735</v>
      </c>
    </row>
    <row r="1111" spans="1:25" ht="12.75" customHeight="1" x14ac:dyDescent="0.2">
      <c r="A1111" s="91">
        <f t="shared" si="28"/>
        <v>1</v>
      </c>
      <c r="B1111" s="79" t="s">
        <v>2458</v>
      </c>
      <c r="C1111" s="79" t="s">
        <v>2458</v>
      </c>
      <c r="D1111" s="79" t="s">
        <v>2457</v>
      </c>
      <c r="E1111" s="55" t="s">
        <v>3360</v>
      </c>
      <c r="F1111" s="79" t="s">
        <v>2457</v>
      </c>
      <c r="G1111" s="79" t="s">
        <v>2414</v>
      </c>
      <c r="H1111" s="79" t="s">
        <v>2791</v>
      </c>
      <c r="I1111" s="79" t="s">
        <v>2812</v>
      </c>
      <c r="J1111" s="79" t="s">
        <v>738</v>
      </c>
      <c r="K1111" s="79" t="s">
        <v>707</v>
      </c>
      <c r="L1111" s="79" t="s">
        <v>739</v>
      </c>
      <c r="Y1111" s="79" t="s">
        <v>1045</v>
      </c>
    </row>
    <row r="1112" spans="1:25" ht="12.75" customHeight="1" x14ac:dyDescent="0.2">
      <c r="A1112" s="91">
        <f t="shared" si="28"/>
        <v>1</v>
      </c>
      <c r="B1112" s="79" t="s">
        <v>1756</v>
      </c>
      <c r="C1112" s="79" t="s">
        <v>1756</v>
      </c>
      <c r="D1112" s="79" t="s">
        <v>1755</v>
      </c>
      <c r="E1112" s="55" t="s">
        <v>3372</v>
      </c>
      <c r="F1112" s="79" t="s">
        <v>1755</v>
      </c>
      <c r="G1112" s="79" t="s">
        <v>1757</v>
      </c>
      <c r="H1112" s="79" t="s">
        <v>2775</v>
      </c>
      <c r="I1112" s="79" t="s">
        <v>2796</v>
      </c>
      <c r="J1112" s="79" t="s">
        <v>1758</v>
      </c>
      <c r="K1112" s="79" t="s">
        <v>707</v>
      </c>
      <c r="L1112" s="79" t="s">
        <v>1759</v>
      </c>
      <c r="Y1112" s="79" t="s">
        <v>1059</v>
      </c>
    </row>
    <row r="1113" spans="1:25" ht="12.75" customHeight="1" x14ac:dyDescent="0.2">
      <c r="A1113" s="91">
        <f t="shared" si="28"/>
        <v>1</v>
      </c>
      <c r="B1113" s="79" t="s">
        <v>1250</v>
      </c>
      <c r="C1113" s="79" t="s">
        <v>1250</v>
      </c>
      <c r="D1113" s="79" t="s">
        <v>1249</v>
      </c>
      <c r="E1113" s="55" t="s">
        <v>3373</v>
      </c>
      <c r="F1113" s="79" t="s">
        <v>1249</v>
      </c>
      <c r="G1113" s="79" t="s">
        <v>1251</v>
      </c>
      <c r="H1113" s="79" t="s">
        <v>2762</v>
      </c>
      <c r="I1113" s="79" t="s">
        <v>2790</v>
      </c>
      <c r="J1113" s="79" t="s">
        <v>1252</v>
      </c>
      <c r="K1113" s="79" t="s">
        <v>707</v>
      </c>
      <c r="L1113" s="79" t="s">
        <v>1253</v>
      </c>
      <c r="Y1113" s="79" t="s">
        <v>1052</v>
      </c>
    </row>
    <row r="1114" spans="1:25" ht="12.75" customHeight="1" x14ac:dyDescent="0.2">
      <c r="A1114" s="91">
        <f t="shared" si="28"/>
        <v>1</v>
      </c>
      <c r="B1114" s="79" t="s">
        <v>1293</v>
      </c>
      <c r="C1114" s="79" t="s">
        <v>1293</v>
      </c>
      <c r="D1114" s="79" t="s">
        <v>1292</v>
      </c>
      <c r="E1114" s="55" t="s">
        <v>3374</v>
      </c>
      <c r="F1114" s="79" t="s">
        <v>1292</v>
      </c>
      <c r="G1114" s="79" t="s">
        <v>1294</v>
      </c>
      <c r="H1114" s="79" t="s">
        <v>2762</v>
      </c>
      <c r="I1114" s="79" t="s">
        <v>2815</v>
      </c>
      <c r="J1114" s="79" t="s">
        <v>1295</v>
      </c>
      <c r="K1114" s="79" t="s">
        <v>707</v>
      </c>
      <c r="L1114" s="79" t="s">
        <v>1296</v>
      </c>
      <c r="Y1114" s="79" t="s">
        <v>1057</v>
      </c>
    </row>
    <row r="1115" spans="1:25" ht="12.75" customHeight="1" x14ac:dyDescent="0.2">
      <c r="A1115" s="91">
        <f t="shared" si="28"/>
        <v>1</v>
      </c>
      <c r="B1115" s="79" t="s">
        <v>1950</v>
      </c>
      <c r="C1115" s="79" t="s">
        <v>1950</v>
      </c>
      <c r="D1115" s="79" t="s">
        <v>1949</v>
      </c>
      <c r="E1115" s="55" t="s">
        <v>3320</v>
      </c>
      <c r="F1115" s="79" t="s">
        <v>1949</v>
      </c>
      <c r="G1115" s="79" t="s">
        <v>1951</v>
      </c>
      <c r="H1115" s="79" t="s">
        <v>2770</v>
      </c>
      <c r="I1115" s="79" t="s">
        <v>2764</v>
      </c>
      <c r="J1115" s="79" t="s">
        <v>1303</v>
      </c>
      <c r="K1115" s="79" t="s">
        <v>1920</v>
      </c>
      <c r="L1115" s="79" t="s">
        <v>1952</v>
      </c>
      <c r="Y1115" s="79" t="s">
        <v>1055</v>
      </c>
    </row>
    <row r="1116" spans="1:25" ht="12.75" customHeight="1" x14ac:dyDescent="0.2">
      <c r="A1116" s="91">
        <f t="shared" si="28"/>
        <v>1</v>
      </c>
      <c r="B1116" s="79" t="s">
        <v>1950</v>
      </c>
      <c r="C1116" s="79" t="s">
        <v>1950</v>
      </c>
      <c r="D1116" s="79" t="s">
        <v>2717</v>
      </c>
      <c r="E1116" s="55" t="s">
        <v>3320</v>
      </c>
      <c r="F1116" s="79" t="s">
        <v>2717</v>
      </c>
      <c r="G1116" s="79" t="s">
        <v>1951</v>
      </c>
      <c r="H1116" s="79" t="s">
        <v>2770</v>
      </c>
      <c r="I1116" s="79" t="s">
        <v>2764</v>
      </c>
      <c r="J1116" s="79" t="s">
        <v>1303</v>
      </c>
      <c r="K1116" s="79" t="s">
        <v>1920</v>
      </c>
      <c r="L1116" s="79" t="s">
        <v>1952</v>
      </c>
      <c r="Y1116" s="79" t="s">
        <v>1050</v>
      </c>
    </row>
    <row r="1117" spans="1:25" ht="12.75" customHeight="1" x14ac:dyDescent="0.2">
      <c r="A1117" s="91">
        <f t="shared" si="28"/>
        <v>1</v>
      </c>
      <c r="B1117" s="79" t="s">
        <v>1857</v>
      </c>
      <c r="C1117" s="79" t="s">
        <v>1857</v>
      </c>
      <c r="D1117" s="79" t="s">
        <v>1856</v>
      </c>
      <c r="E1117" s="55" t="s">
        <v>3375</v>
      </c>
      <c r="F1117" s="79" t="s">
        <v>1856</v>
      </c>
      <c r="G1117" s="79" t="s">
        <v>1858</v>
      </c>
      <c r="H1117" s="79" t="s">
        <v>2770</v>
      </c>
      <c r="I1117" s="79" t="s">
        <v>2828</v>
      </c>
      <c r="J1117" s="79" t="s">
        <v>1859</v>
      </c>
      <c r="K1117" s="79" t="s">
        <v>707</v>
      </c>
      <c r="L1117" s="79" t="s">
        <v>1860</v>
      </c>
      <c r="Y1117" s="79" t="s">
        <v>937</v>
      </c>
    </row>
    <row r="1118" spans="1:25" ht="12.75" customHeight="1" x14ac:dyDescent="0.2">
      <c r="A1118" s="91">
        <f t="shared" si="28"/>
        <v>1</v>
      </c>
      <c r="B1118" s="79" t="s">
        <v>2133</v>
      </c>
      <c r="C1118" s="79" t="s">
        <v>2133</v>
      </c>
      <c r="D1118" s="79" t="s">
        <v>2132</v>
      </c>
      <c r="E1118" s="55" t="s">
        <v>3248</v>
      </c>
      <c r="F1118" s="79" t="s">
        <v>2132</v>
      </c>
      <c r="G1118" s="79" t="s">
        <v>2134</v>
      </c>
      <c r="H1118" s="79" t="s">
        <v>2780</v>
      </c>
      <c r="I1118" s="79" t="s">
        <v>2799</v>
      </c>
      <c r="J1118" s="79" t="s">
        <v>2135</v>
      </c>
      <c r="K1118" s="79" t="s">
        <v>707</v>
      </c>
      <c r="L1118" s="79" t="s">
        <v>2136</v>
      </c>
      <c r="Y1118" s="79" t="s">
        <v>1082</v>
      </c>
    </row>
    <row r="1119" spans="1:25" ht="12.75" customHeight="1" x14ac:dyDescent="0.2">
      <c r="A1119" s="91">
        <f t="shared" si="28"/>
        <v>1</v>
      </c>
      <c r="B1119" s="79" t="s">
        <v>1627</v>
      </c>
      <c r="C1119" s="79" t="s">
        <v>1627</v>
      </c>
      <c r="D1119" s="79" t="s">
        <v>1626</v>
      </c>
      <c r="E1119" s="55" t="s">
        <v>3376</v>
      </c>
      <c r="F1119" s="79" t="s">
        <v>1626</v>
      </c>
      <c r="G1119" s="79" t="s">
        <v>1628</v>
      </c>
      <c r="H1119" s="79" t="s">
        <v>2834</v>
      </c>
      <c r="I1119" s="79" t="s">
        <v>2840</v>
      </c>
      <c r="J1119" s="79" t="s">
        <v>1629</v>
      </c>
      <c r="K1119" s="79" t="s">
        <v>707</v>
      </c>
      <c r="L1119" s="79" t="s">
        <v>1630</v>
      </c>
      <c r="Y1119" s="79" t="s">
        <v>942</v>
      </c>
    </row>
    <row r="1120" spans="1:25" ht="12.75" customHeight="1" x14ac:dyDescent="0.2">
      <c r="A1120" s="91">
        <f t="shared" si="28"/>
        <v>1</v>
      </c>
      <c r="B1120" s="79" t="s">
        <v>1627</v>
      </c>
      <c r="C1120" s="79" t="s">
        <v>1627</v>
      </c>
      <c r="D1120" s="79" t="s">
        <v>2689</v>
      </c>
      <c r="E1120" s="55" t="s">
        <v>3376</v>
      </c>
      <c r="F1120" s="79" t="s">
        <v>2689</v>
      </c>
      <c r="G1120" s="79" t="s">
        <v>1676</v>
      </c>
      <c r="H1120" s="79" t="s">
        <v>2834</v>
      </c>
      <c r="I1120" s="79" t="s">
        <v>2840</v>
      </c>
      <c r="J1120" s="79" t="s">
        <v>1629</v>
      </c>
      <c r="K1120" s="79" t="s">
        <v>707</v>
      </c>
      <c r="L1120" s="79" t="s">
        <v>1630</v>
      </c>
      <c r="Y1120" s="79" t="s">
        <v>792</v>
      </c>
    </row>
    <row r="1121" spans="1:25" ht="12.75" customHeight="1" x14ac:dyDescent="0.2">
      <c r="A1121" s="91">
        <f t="shared" si="28"/>
        <v>1</v>
      </c>
      <c r="B1121" s="79" t="s">
        <v>1627</v>
      </c>
      <c r="C1121" s="79" t="s">
        <v>1627</v>
      </c>
      <c r="D1121" s="79" t="s">
        <v>2690</v>
      </c>
      <c r="E1121" s="55" t="s">
        <v>3376</v>
      </c>
      <c r="F1121" s="79" t="s">
        <v>2690</v>
      </c>
      <c r="G1121" s="79" t="s">
        <v>1676</v>
      </c>
      <c r="H1121" s="79" t="s">
        <v>2834</v>
      </c>
      <c r="I1121" s="79" t="s">
        <v>2840</v>
      </c>
      <c r="J1121" s="79" t="s">
        <v>1629</v>
      </c>
      <c r="K1121" s="79" t="s">
        <v>707</v>
      </c>
      <c r="L1121" s="79" t="s">
        <v>1630</v>
      </c>
      <c r="Y1121" s="79" t="s">
        <v>805</v>
      </c>
    </row>
    <row r="1122" spans="1:25" ht="12.75" customHeight="1" x14ac:dyDescent="0.2">
      <c r="A1122" s="91">
        <f t="shared" si="28"/>
        <v>1</v>
      </c>
      <c r="B1122" s="79" t="s">
        <v>1675</v>
      </c>
      <c r="C1122" s="79" t="s">
        <v>1675</v>
      </c>
      <c r="D1122" s="79" t="s">
        <v>1674</v>
      </c>
      <c r="E1122" s="55" t="s">
        <v>3376</v>
      </c>
      <c r="F1122" s="79" t="s">
        <v>1674</v>
      </c>
      <c r="G1122" s="79" t="s">
        <v>1676</v>
      </c>
      <c r="H1122" s="79" t="s">
        <v>2834</v>
      </c>
      <c r="I1122" s="79" t="s">
        <v>2840</v>
      </c>
      <c r="J1122" s="79" t="s">
        <v>1629</v>
      </c>
      <c r="K1122" s="79" t="s">
        <v>707</v>
      </c>
      <c r="L1122" s="79" t="s">
        <v>1630</v>
      </c>
      <c r="Y1122" s="79" t="s">
        <v>837</v>
      </c>
    </row>
    <row r="1123" spans="1:25" ht="12.75" customHeight="1" x14ac:dyDescent="0.2">
      <c r="A1123" s="91">
        <f t="shared" si="28"/>
        <v>1</v>
      </c>
      <c r="B1123" s="79" t="s">
        <v>1567</v>
      </c>
      <c r="C1123" s="79" t="s">
        <v>1567</v>
      </c>
      <c r="D1123" s="79" t="s">
        <v>1566</v>
      </c>
      <c r="E1123" s="55" t="s">
        <v>3377</v>
      </c>
      <c r="F1123" s="79" t="s">
        <v>1566</v>
      </c>
      <c r="G1123" s="79" t="s">
        <v>1568</v>
      </c>
      <c r="H1123" s="79" t="s">
        <v>2786</v>
      </c>
      <c r="I1123" s="79" t="s">
        <v>2848</v>
      </c>
      <c r="J1123" s="79" t="s">
        <v>1569</v>
      </c>
      <c r="K1123" s="79" t="s">
        <v>707</v>
      </c>
      <c r="L1123" s="79" t="s">
        <v>1570</v>
      </c>
      <c r="Y1123" s="79" t="s">
        <v>1485</v>
      </c>
    </row>
    <row r="1124" spans="1:25" ht="12.75" customHeight="1" x14ac:dyDescent="0.2">
      <c r="A1124" s="91">
        <f t="shared" si="28"/>
        <v>1</v>
      </c>
      <c r="B1124" s="79" t="s">
        <v>1567</v>
      </c>
      <c r="C1124" s="79" t="s">
        <v>1567</v>
      </c>
      <c r="D1124" s="79" t="s">
        <v>2683</v>
      </c>
      <c r="E1124" s="55" t="s">
        <v>3377</v>
      </c>
      <c r="F1124" s="79" t="s">
        <v>2683</v>
      </c>
      <c r="G1124" s="79" t="s">
        <v>1568</v>
      </c>
      <c r="H1124" s="79" t="s">
        <v>2786</v>
      </c>
      <c r="I1124" s="79" t="s">
        <v>2848</v>
      </c>
      <c r="J1124" s="79" t="s">
        <v>1569</v>
      </c>
      <c r="K1124" s="79" t="s">
        <v>707</v>
      </c>
      <c r="L1124" s="79" t="s">
        <v>1570</v>
      </c>
      <c r="Y1124" s="79" t="s">
        <v>1478</v>
      </c>
    </row>
    <row r="1125" spans="1:25" ht="12.75" customHeight="1" x14ac:dyDescent="0.2">
      <c r="A1125" s="91">
        <f t="shared" si="28"/>
        <v>1</v>
      </c>
      <c r="B1125" s="79" t="s">
        <v>1533</v>
      </c>
      <c r="C1125" s="79" t="s">
        <v>1533</v>
      </c>
      <c r="D1125" s="79" t="s">
        <v>1532</v>
      </c>
      <c r="E1125" s="55" t="s">
        <v>3378</v>
      </c>
      <c r="F1125" s="79" t="s">
        <v>1532</v>
      </c>
      <c r="G1125" s="79" t="s">
        <v>1534</v>
      </c>
      <c r="H1125" s="79" t="s">
        <v>2786</v>
      </c>
      <c r="I1125" s="79" t="s">
        <v>2787</v>
      </c>
      <c r="J1125" s="79" t="s">
        <v>1525</v>
      </c>
      <c r="K1125" s="79" t="s">
        <v>707</v>
      </c>
      <c r="L1125" s="79" t="s">
        <v>1535</v>
      </c>
      <c r="Y1125" s="79" t="s">
        <v>1483</v>
      </c>
    </row>
    <row r="1126" spans="1:25" ht="12.75" customHeight="1" x14ac:dyDescent="0.2">
      <c r="A1126" s="91">
        <f t="shared" si="28"/>
        <v>1</v>
      </c>
      <c r="B1126" s="79" t="s">
        <v>1533</v>
      </c>
      <c r="C1126" s="79" t="s">
        <v>1533</v>
      </c>
      <c r="D1126" s="79" t="s">
        <v>2676</v>
      </c>
      <c r="E1126" s="55" t="s">
        <v>3378</v>
      </c>
      <c r="F1126" s="79" t="s">
        <v>2676</v>
      </c>
      <c r="G1126" s="79" t="s">
        <v>1534</v>
      </c>
      <c r="H1126" s="79" t="s">
        <v>2786</v>
      </c>
      <c r="I1126" s="79" t="s">
        <v>2787</v>
      </c>
      <c r="J1126" s="79" t="s">
        <v>1525</v>
      </c>
      <c r="K1126" s="79" t="s">
        <v>707</v>
      </c>
      <c r="L1126" s="79" t="s">
        <v>1535</v>
      </c>
      <c r="Y1126" s="79" t="s">
        <v>1481</v>
      </c>
    </row>
    <row r="1127" spans="1:25" ht="12.75" customHeight="1" x14ac:dyDescent="0.2">
      <c r="A1127" s="91">
        <f t="shared" si="28"/>
        <v>1</v>
      </c>
      <c r="B1127" s="79" t="s">
        <v>1533</v>
      </c>
      <c r="C1127" s="79" t="s">
        <v>1533</v>
      </c>
      <c r="D1127" s="79" t="s">
        <v>2677</v>
      </c>
      <c r="E1127" s="55" t="s">
        <v>3378</v>
      </c>
      <c r="F1127" s="79" t="s">
        <v>2677</v>
      </c>
      <c r="G1127" s="79" t="s">
        <v>1534</v>
      </c>
      <c r="H1127" s="79" t="s">
        <v>2786</v>
      </c>
      <c r="I1127" s="79" t="s">
        <v>2787</v>
      </c>
      <c r="J1127" s="79" t="s">
        <v>1525</v>
      </c>
      <c r="K1127" s="79" t="s">
        <v>707</v>
      </c>
      <c r="L1127" s="79" t="s">
        <v>1535</v>
      </c>
      <c r="Y1127" s="79" t="s">
        <v>1503</v>
      </c>
    </row>
    <row r="1128" spans="1:25" ht="12.75" customHeight="1" x14ac:dyDescent="0.2">
      <c r="A1128" s="91">
        <f t="shared" si="28"/>
        <v>1</v>
      </c>
      <c r="B1128" s="79" t="s">
        <v>715</v>
      </c>
      <c r="C1128" s="79" t="s">
        <v>715</v>
      </c>
      <c r="D1128" s="79" t="s">
        <v>714</v>
      </c>
      <c r="E1128" s="55" t="s">
        <v>3282</v>
      </c>
      <c r="F1128" s="79" t="s">
        <v>714</v>
      </c>
      <c r="G1128" s="79" t="s">
        <v>716</v>
      </c>
      <c r="H1128" s="79" t="s">
        <v>2804</v>
      </c>
      <c r="I1128" s="79" t="s">
        <v>2813</v>
      </c>
      <c r="J1128" s="79" t="s">
        <v>717</v>
      </c>
      <c r="K1128" s="79" t="s">
        <v>707</v>
      </c>
      <c r="L1128" s="79" t="s">
        <v>718</v>
      </c>
      <c r="Y1128" s="79" t="s">
        <v>1428</v>
      </c>
    </row>
    <row r="1129" spans="1:25" ht="12.75" customHeight="1" x14ac:dyDescent="0.2">
      <c r="A1129" s="91">
        <f t="shared" si="28"/>
        <v>1</v>
      </c>
      <c r="B1129" s="79" t="s">
        <v>715</v>
      </c>
      <c r="C1129" s="79" t="s">
        <v>715</v>
      </c>
      <c r="D1129" s="79" t="s">
        <v>2579</v>
      </c>
      <c r="E1129" s="55" t="s">
        <v>3282</v>
      </c>
      <c r="F1129" s="79" t="s">
        <v>2579</v>
      </c>
      <c r="G1129" s="79" t="s">
        <v>716</v>
      </c>
      <c r="H1129" s="79" t="s">
        <v>2804</v>
      </c>
      <c r="I1129" s="79" t="s">
        <v>2813</v>
      </c>
      <c r="J1129" s="79" t="s">
        <v>717</v>
      </c>
      <c r="K1129" s="79" t="s">
        <v>707</v>
      </c>
      <c r="L1129" s="79" t="s">
        <v>718</v>
      </c>
      <c r="Y1129" s="79" t="s">
        <v>1491</v>
      </c>
    </row>
    <row r="1130" spans="1:25" ht="12.75" customHeight="1" x14ac:dyDescent="0.2">
      <c r="A1130" s="91">
        <f t="shared" si="28"/>
        <v>1</v>
      </c>
      <c r="B1130" s="79" t="s">
        <v>715</v>
      </c>
      <c r="C1130" s="79" t="s">
        <v>715</v>
      </c>
      <c r="D1130" s="79" t="s">
        <v>2580</v>
      </c>
      <c r="E1130" s="55" t="s">
        <v>3282</v>
      </c>
      <c r="F1130" s="79" t="s">
        <v>2580</v>
      </c>
      <c r="G1130" s="79" t="s">
        <v>716</v>
      </c>
      <c r="H1130" s="79" t="s">
        <v>2804</v>
      </c>
      <c r="I1130" s="79" t="s">
        <v>2813</v>
      </c>
      <c r="J1130" s="79" t="s">
        <v>717</v>
      </c>
      <c r="K1130" s="79" t="s">
        <v>707</v>
      </c>
      <c r="L1130" s="79" t="s">
        <v>718</v>
      </c>
      <c r="Y1130" s="79" t="s">
        <v>1459</v>
      </c>
    </row>
    <row r="1131" spans="1:25" ht="12.75" customHeight="1" x14ac:dyDescent="0.2">
      <c r="A1131" s="91">
        <f t="shared" si="28"/>
        <v>1</v>
      </c>
      <c r="B1131" s="79" t="s">
        <v>1247</v>
      </c>
      <c r="C1131" s="79" t="s">
        <v>1247</v>
      </c>
      <c r="D1131" s="79" t="s">
        <v>1246</v>
      </c>
      <c r="E1131" s="55" t="s">
        <v>3357</v>
      </c>
      <c r="F1131" s="79" t="s">
        <v>1246</v>
      </c>
      <c r="G1131" s="79" t="s">
        <v>1248</v>
      </c>
      <c r="H1131" s="79" t="s">
        <v>2767</v>
      </c>
      <c r="I1131" s="79" t="s">
        <v>2842</v>
      </c>
      <c r="J1131" s="79" t="s">
        <v>768</v>
      </c>
      <c r="K1131" s="79" t="s">
        <v>707</v>
      </c>
      <c r="L1131" s="79" t="s">
        <v>769</v>
      </c>
      <c r="Y1131" s="79" t="s">
        <v>1376</v>
      </c>
    </row>
    <row r="1132" spans="1:25" ht="12.75" customHeight="1" x14ac:dyDescent="0.2">
      <c r="A1132" s="91">
        <f t="shared" si="28"/>
        <v>1</v>
      </c>
      <c r="B1132" s="79" t="s">
        <v>1247</v>
      </c>
      <c r="C1132" s="79" t="s">
        <v>1247</v>
      </c>
      <c r="D1132" s="79" t="s">
        <v>2663</v>
      </c>
      <c r="E1132" s="55" t="s">
        <v>3357</v>
      </c>
      <c r="F1132" s="79" t="s">
        <v>2663</v>
      </c>
      <c r="G1132" s="79" t="s">
        <v>1248</v>
      </c>
      <c r="H1132" s="79" t="s">
        <v>2767</v>
      </c>
      <c r="I1132" s="79" t="s">
        <v>2842</v>
      </c>
      <c r="J1132" s="79" t="s">
        <v>768</v>
      </c>
      <c r="K1132" s="79" t="s">
        <v>707</v>
      </c>
      <c r="L1132" s="79" t="s">
        <v>769</v>
      </c>
      <c r="Y1132" s="79" t="s">
        <v>1381</v>
      </c>
    </row>
    <row r="1133" spans="1:25" ht="12.75" customHeight="1" x14ac:dyDescent="0.2">
      <c r="A1133" s="91">
        <f t="shared" si="28"/>
        <v>1</v>
      </c>
      <c r="B1133" s="79" t="s">
        <v>1142</v>
      </c>
      <c r="C1133" s="79" t="s">
        <v>1142</v>
      </c>
      <c r="D1133" s="79" t="s">
        <v>1141</v>
      </c>
      <c r="E1133" s="55" t="s">
        <v>3217</v>
      </c>
      <c r="F1133" s="79" t="s">
        <v>1141</v>
      </c>
      <c r="G1133" s="79" t="s">
        <v>1143</v>
      </c>
      <c r="H1133" s="79" t="s">
        <v>2770</v>
      </c>
      <c r="I1133" s="79" t="s">
        <v>2789</v>
      </c>
      <c r="J1133" s="79" t="s">
        <v>1144</v>
      </c>
      <c r="K1133" s="79" t="s">
        <v>707</v>
      </c>
      <c r="L1133" s="79" t="s">
        <v>1145</v>
      </c>
      <c r="Y1133" s="79" t="s">
        <v>1379</v>
      </c>
    </row>
    <row r="1134" spans="1:25" ht="12.75" customHeight="1" x14ac:dyDescent="0.2">
      <c r="A1134" s="91">
        <f t="shared" si="28"/>
        <v>1</v>
      </c>
      <c r="B1134" s="79" t="s">
        <v>1128</v>
      </c>
      <c r="C1134" s="79" t="s">
        <v>1128</v>
      </c>
      <c r="D1134" s="79" t="s">
        <v>1127</v>
      </c>
      <c r="E1134" s="55" t="s">
        <v>3187</v>
      </c>
      <c r="F1134" s="79" t="s">
        <v>1127</v>
      </c>
      <c r="G1134" s="79" t="s">
        <v>954</v>
      </c>
      <c r="H1134" s="79" t="s">
        <v>2759</v>
      </c>
      <c r="I1134" s="79" t="s">
        <v>2760</v>
      </c>
      <c r="J1134" s="79" t="s">
        <v>843</v>
      </c>
      <c r="K1134" s="79" t="s">
        <v>707</v>
      </c>
      <c r="L1134" s="79" t="s">
        <v>955</v>
      </c>
      <c r="Y1134" s="79" t="s">
        <v>2174</v>
      </c>
    </row>
    <row r="1135" spans="1:25" ht="12.75" customHeight="1" x14ac:dyDescent="0.2">
      <c r="A1135" s="91">
        <f t="shared" si="28"/>
        <v>1</v>
      </c>
      <c r="B1135" s="79" t="s">
        <v>1137</v>
      </c>
      <c r="C1135" s="79" t="s">
        <v>1137</v>
      </c>
      <c r="D1135" s="79" t="s">
        <v>1136</v>
      </c>
      <c r="E1135" s="55" t="s">
        <v>3379</v>
      </c>
      <c r="F1135" s="79" t="s">
        <v>1136</v>
      </c>
      <c r="G1135" s="79" t="s">
        <v>1138</v>
      </c>
      <c r="H1135" s="79" t="s">
        <v>2772</v>
      </c>
      <c r="I1135" s="79" t="s">
        <v>2788</v>
      </c>
      <c r="J1135" s="79" t="s">
        <v>1139</v>
      </c>
      <c r="K1135" s="79" t="s">
        <v>707</v>
      </c>
      <c r="L1135" s="79" t="s">
        <v>1140</v>
      </c>
      <c r="Y1135" s="79" t="s">
        <v>2166</v>
      </c>
    </row>
    <row r="1136" spans="1:25" ht="12.75" customHeight="1" x14ac:dyDescent="0.2">
      <c r="A1136" s="91">
        <f t="shared" si="28"/>
        <v>1</v>
      </c>
      <c r="B1136" s="79" t="s">
        <v>1126</v>
      </c>
      <c r="C1136" s="79" t="s">
        <v>1126</v>
      </c>
      <c r="D1136" s="79" t="s">
        <v>1125</v>
      </c>
      <c r="E1136" s="55" t="s">
        <v>3187</v>
      </c>
      <c r="F1136" s="79" t="s">
        <v>1125</v>
      </c>
      <c r="G1136" s="79" t="s">
        <v>954</v>
      </c>
      <c r="H1136" s="79" t="s">
        <v>2759</v>
      </c>
      <c r="I1136" s="79" t="s">
        <v>2760</v>
      </c>
      <c r="J1136" s="79" t="s">
        <v>843</v>
      </c>
      <c r="K1136" s="79" t="s">
        <v>707</v>
      </c>
      <c r="L1136" s="79" t="s">
        <v>955</v>
      </c>
      <c r="Y1136" s="79" t="s">
        <v>1646</v>
      </c>
    </row>
    <row r="1137" spans="1:25" ht="12.75" customHeight="1" x14ac:dyDescent="0.2">
      <c r="A1137" s="91">
        <f t="shared" si="28"/>
        <v>1</v>
      </c>
      <c r="B1137" s="79" t="s">
        <v>1132</v>
      </c>
      <c r="C1137" s="79" t="s">
        <v>1132</v>
      </c>
      <c r="D1137" s="79" t="s">
        <v>1131</v>
      </c>
      <c r="E1137" s="55" t="s">
        <v>3380</v>
      </c>
      <c r="F1137" s="79" t="s">
        <v>1131</v>
      </c>
      <c r="G1137" s="79" t="s">
        <v>1133</v>
      </c>
      <c r="H1137" s="79" t="s">
        <v>2782</v>
      </c>
      <c r="I1137" s="79" t="s">
        <v>2839</v>
      </c>
      <c r="J1137" s="79" t="s">
        <v>1134</v>
      </c>
      <c r="K1137" s="79" t="s">
        <v>707</v>
      </c>
      <c r="L1137" s="79" t="s">
        <v>1135</v>
      </c>
      <c r="Y1137" s="79" t="s">
        <v>912</v>
      </c>
    </row>
    <row r="1138" spans="1:25" ht="12.75" customHeight="1" x14ac:dyDescent="0.2">
      <c r="A1138" s="91">
        <f t="shared" si="28"/>
        <v>1</v>
      </c>
      <c r="B1138" s="79" t="s">
        <v>1130</v>
      </c>
      <c r="C1138" s="79" t="s">
        <v>1130</v>
      </c>
      <c r="D1138" s="79" t="s">
        <v>1129</v>
      </c>
      <c r="E1138" s="55" t="s">
        <v>3220</v>
      </c>
      <c r="F1138" s="79" t="s">
        <v>1129</v>
      </c>
      <c r="G1138" s="79" t="s">
        <v>964</v>
      </c>
      <c r="H1138" s="79" t="s">
        <v>2759</v>
      </c>
      <c r="I1138" s="79" t="s">
        <v>2760</v>
      </c>
      <c r="J1138" s="79" t="s">
        <v>965</v>
      </c>
      <c r="K1138" s="79" t="s">
        <v>707</v>
      </c>
      <c r="L1138" s="79" t="s">
        <v>966</v>
      </c>
      <c r="Y1138" s="79" t="s">
        <v>719</v>
      </c>
    </row>
    <row r="1139" spans="1:25" ht="12.75" customHeight="1" x14ac:dyDescent="0.2">
      <c r="A1139" s="91">
        <f t="shared" si="28"/>
        <v>1</v>
      </c>
      <c r="B1139" s="79" t="s">
        <v>1276</v>
      </c>
      <c r="C1139" s="79" t="s">
        <v>1276</v>
      </c>
      <c r="D1139" s="79" t="s">
        <v>1275</v>
      </c>
      <c r="E1139" s="55" t="s">
        <v>3188</v>
      </c>
      <c r="F1139" s="79" t="s">
        <v>1275</v>
      </c>
      <c r="G1139" s="79" t="s">
        <v>1277</v>
      </c>
      <c r="H1139" s="79" t="s">
        <v>2767</v>
      </c>
      <c r="I1139" s="79" t="s">
        <v>2768</v>
      </c>
      <c r="J1139" s="79" t="s">
        <v>835</v>
      </c>
      <c r="K1139" s="79" t="s">
        <v>707</v>
      </c>
      <c r="L1139" s="79" t="s">
        <v>836</v>
      </c>
      <c r="Y1139" s="79" t="s">
        <v>917</v>
      </c>
    </row>
    <row r="1140" spans="1:25" ht="12.75" customHeight="1" x14ac:dyDescent="0.2">
      <c r="A1140" s="91">
        <f t="shared" si="28"/>
        <v>1</v>
      </c>
      <c r="B1140" s="79" t="s">
        <v>1271</v>
      </c>
      <c r="C1140" s="79" t="s">
        <v>1271</v>
      </c>
      <c r="D1140" s="79" t="s">
        <v>1270</v>
      </c>
      <c r="E1140" s="55" t="s">
        <v>3199</v>
      </c>
      <c r="F1140" s="79" t="s">
        <v>1270</v>
      </c>
      <c r="G1140" s="79" t="s">
        <v>3074</v>
      </c>
      <c r="H1140" s="79" t="s">
        <v>2762</v>
      </c>
      <c r="I1140" s="79" t="s">
        <v>2774</v>
      </c>
      <c r="J1140" s="79" t="s">
        <v>1273</v>
      </c>
      <c r="K1140" s="79" t="s">
        <v>707</v>
      </c>
      <c r="L1140" s="79" t="s">
        <v>1274</v>
      </c>
      <c r="Y1140" s="79" t="s">
        <v>1814</v>
      </c>
    </row>
    <row r="1141" spans="1:25" ht="12.75" customHeight="1" x14ac:dyDescent="0.2">
      <c r="A1141" s="91">
        <f t="shared" si="28"/>
        <v>1</v>
      </c>
      <c r="B1141" s="79" t="s">
        <v>2374</v>
      </c>
      <c r="C1141" s="79" t="s">
        <v>2374</v>
      </c>
      <c r="D1141" s="79" t="s">
        <v>2373</v>
      </c>
      <c r="E1141" s="55" t="s">
        <v>3381</v>
      </c>
      <c r="F1141" s="79" t="s">
        <v>2373</v>
      </c>
      <c r="G1141" s="79" t="s">
        <v>2375</v>
      </c>
      <c r="H1141" s="79" t="s">
        <v>2791</v>
      </c>
      <c r="I1141" s="79" t="s">
        <v>2812</v>
      </c>
      <c r="J1141" s="79" t="s">
        <v>2376</v>
      </c>
      <c r="K1141" s="79" t="s">
        <v>707</v>
      </c>
      <c r="L1141" s="79" t="s">
        <v>2377</v>
      </c>
      <c r="Y1141" s="79" t="s">
        <v>922</v>
      </c>
    </row>
    <row r="1142" spans="1:25" ht="12.75" customHeight="1" x14ac:dyDescent="0.2">
      <c r="A1142" s="91">
        <f t="shared" si="28"/>
        <v>1</v>
      </c>
      <c r="B1142" s="79" t="s">
        <v>1333</v>
      </c>
      <c r="C1142" s="79" t="s">
        <v>1333</v>
      </c>
      <c r="D1142" s="79" t="s">
        <v>1332</v>
      </c>
      <c r="E1142" s="55" t="s">
        <v>3192</v>
      </c>
      <c r="F1142" s="79" t="s">
        <v>1332</v>
      </c>
      <c r="G1142" s="79" t="s">
        <v>1334</v>
      </c>
      <c r="H1142" s="79" t="s">
        <v>2762</v>
      </c>
      <c r="I1142" s="79" t="s">
        <v>2766</v>
      </c>
      <c r="J1142" s="79" t="s">
        <v>885</v>
      </c>
      <c r="K1142" s="79" t="s">
        <v>707</v>
      </c>
      <c r="L1142" s="79" t="s">
        <v>1257</v>
      </c>
      <c r="Y1142" s="79" t="s">
        <v>1517</v>
      </c>
    </row>
    <row r="1143" spans="1:25" ht="12.75" customHeight="1" x14ac:dyDescent="0.2">
      <c r="A1143" s="91">
        <f t="shared" si="28"/>
        <v>1</v>
      </c>
      <c r="B1143" s="79" t="s">
        <v>1336</v>
      </c>
      <c r="C1143" s="79" t="s">
        <v>1336</v>
      </c>
      <c r="D1143" s="79" t="s">
        <v>1335</v>
      </c>
      <c r="E1143" s="55" t="s">
        <v>3301</v>
      </c>
      <c r="F1143" s="79" t="s">
        <v>1335</v>
      </c>
      <c r="G1143" s="79" t="s">
        <v>1337</v>
      </c>
      <c r="H1143" s="79" t="s">
        <v>2767</v>
      </c>
      <c r="I1143" s="79" t="s">
        <v>2768</v>
      </c>
      <c r="J1143" s="79" t="s">
        <v>1338</v>
      </c>
      <c r="K1143" s="79" t="s">
        <v>707</v>
      </c>
      <c r="L1143" s="79" t="s">
        <v>1339</v>
      </c>
      <c r="Y1143" s="79" t="s">
        <v>1527</v>
      </c>
    </row>
    <row r="1144" spans="1:25" ht="12.75" customHeight="1" x14ac:dyDescent="0.2">
      <c r="A1144" s="91">
        <f t="shared" si="28"/>
        <v>1</v>
      </c>
      <c r="B1144" s="79" t="s">
        <v>1341</v>
      </c>
      <c r="C1144" s="79" t="s">
        <v>1341</v>
      </c>
      <c r="D1144" s="79" t="s">
        <v>1340</v>
      </c>
      <c r="E1144" s="55" t="s">
        <v>3188</v>
      </c>
      <c r="F1144" s="79" t="s">
        <v>1340</v>
      </c>
      <c r="G1144" s="79" t="s">
        <v>1277</v>
      </c>
      <c r="H1144" s="79" t="s">
        <v>2767</v>
      </c>
      <c r="I1144" s="79" t="s">
        <v>2768</v>
      </c>
      <c r="J1144" s="79" t="s">
        <v>835</v>
      </c>
      <c r="K1144" s="79" t="s">
        <v>707</v>
      </c>
      <c r="L1144" s="79" t="s">
        <v>836</v>
      </c>
      <c r="Y1144" s="79" t="s">
        <v>1750</v>
      </c>
    </row>
    <row r="1145" spans="1:25" ht="12.75" customHeight="1" x14ac:dyDescent="0.2">
      <c r="A1145" s="91">
        <f t="shared" si="28"/>
        <v>1</v>
      </c>
      <c r="B1145" s="79" t="s">
        <v>1726</v>
      </c>
      <c r="C1145" s="79" t="s">
        <v>1726</v>
      </c>
      <c r="D1145" s="79" t="s">
        <v>1725</v>
      </c>
      <c r="E1145" s="55" t="s">
        <v>3382</v>
      </c>
      <c r="F1145" s="79" t="s">
        <v>1725</v>
      </c>
      <c r="G1145" s="79" t="s">
        <v>1727</v>
      </c>
      <c r="H1145" s="79" t="s">
        <v>2775</v>
      </c>
      <c r="I1145" s="79" t="s">
        <v>2777</v>
      </c>
      <c r="J1145" s="79" t="s">
        <v>1728</v>
      </c>
      <c r="K1145" s="79" t="s">
        <v>707</v>
      </c>
      <c r="L1145" s="79" t="s">
        <v>1729</v>
      </c>
      <c r="Y1145" s="79" t="s">
        <v>2076</v>
      </c>
    </row>
    <row r="1146" spans="1:25" ht="12.75" customHeight="1" x14ac:dyDescent="0.2">
      <c r="A1146" s="91">
        <f t="shared" si="28"/>
        <v>1</v>
      </c>
      <c r="B1146" s="79" t="s">
        <v>1862</v>
      </c>
      <c r="C1146" s="79" t="s">
        <v>1862</v>
      </c>
      <c r="D1146" s="79" t="s">
        <v>1861</v>
      </c>
      <c r="E1146" s="55" t="s">
        <v>3325</v>
      </c>
      <c r="F1146" s="79" t="s">
        <v>1861</v>
      </c>
      <c r="G1146" s="79" t="s">
        <v>1863</v>
      </c>
      <c r="H1146" s="79" t="s">
        <v>2770</v>
      </c>
      <c r="I1146" s="79" t="s">
        <v>2826</v>
      </c>
      <c r="J1146" s="79" t="s">
        <v>1822</v>
      </c>
      <c r="K1146" s="79" t="s">
        <v>707</v>
      </c>
      <c r="L1146" s="79" t="s">
        <v>1823</v>
      </c>
      <c r="Y1146" s="79" t="s">
        <v>2694</v>
      </c>
    </row>
    <row r="1147" spans="1:25" ht="12.75" customHeight="1" x14ac:dyDescent="0.2">
      <c r="A1147" s="91">
        <f t="shared" si="28"/>
        <v>1</v>
      </c>
      <c r="B1147" s="79" t="s">
        <v>2434</v>
      </c>
      <c r="C1147" s="79" t="s">
        <v>2434</v>
      </c>
      <c r="D1147" s="79" t="s">
        <v>2433</v>
      </c>
      <c r="E1147" s="55" t="s">
        <v>3383</v>
      </c>
      <c r="F1147" s="79" t="s">
        <v>2433</v>
      </c>
      <c r="G1147" s="79" t="s">
        <v>2435</v>
      </c>
      <c r="H1147" s="79" t="s">
        <v>2791</v>
      </c>
      <c r="I1147" s="79" t="s">
        <v>2849</v>
      </c>
      <c r="J1147" s="79" t="s">
        <v>2436</v>
      </c>
      <c r="K1147" s="79" t="s">
        <v>707</v>
      </c>
      <c r="L1147" s="79" t="s">
        <v>2437</v>
      </c>
      <c r="Y1147" s="79" t="s">
        <v>2058</v>
      </c>
    </row>
    <row r="1148" spans="1:25" ht="12.75" customHeight="1" x14ac:dyDescent="0.2">
      <c r="A1148" s="91">
        <f t="shared" si="28"/>
        <v>1</v>
      </c>
      <c r="B1148" s="79" t="s">
        <v>1682</v>
      </c>
      <c r="C1148" s="79" t="s">
        <v>1682</v>
      </c>
      <c r="D1148" s="79" t="s">
        <v>1681</v>
      </c>
      <c r="E1148" s="55" t="s">
        <v>3369</v>
      </c>
      <c r="F1148" s="79" t="s">
        <v>1681</v>
      </c>
      <c r="G1148" s="79" t="s">
        <v>1683</v>
      </c>
      <c r="H1148" s="79" t="s">
        <v>2834</v>
      </c>
      <c r="I1148" s="79" t="s">
        <v>2757</v>
      </c>
      <c r="J1148" s="79" t="s">
        <v>1639</v>
      </c>
      <c r="K1148" s="79" t="s">
        <v>707</v>
      </c>
      <c r="L1148" s="79" t="s">
        <v>1640</v>
      </c>
      <c r="Y1148" s="79" t="s">
        <v>2037</v>
      </c>
    </row>
    <row r="1149" spans="1:25" ht="12.75" customHeight="1" x14ac:dyDescent="0.2">
      <c r="A1149" s="91">
        <f t="shared" si="28"/>
        <v>1</v>
      </c>
      <c r="B1149" s="79" t="s">
        <v>2347</v>
      </c>
      <c r="C1149" s="79" t="s">
        <v>2347</v>
      </c>
      <c r="D1149" s="79" t="s">
        <v>2346</v>
      </c>
      <c r="E1149" s="55" t="s">
        <v>3384</v>
      </c>
      <c r="F1149" s="79" t="s">
        <v>2346</v>
      </c>
      <c r="G1149" s="79" t="s">
        <v>2348</v>
      </c>
      <c r="H1149" s="79" t="s">
        <v>2791</v>
      </c>
      <c r="I1149" s="79" t="s">
        <v>2850</v>
      </c>
      <c r="J1149" s="79" t="s">
        <v>2349</v>
      </c>
      <c r="K1149" s="79" t="s">
        <v>707</v>
      </c>
      <c r="L1149" s="79" t="s">
        <v>2350</v>
      </c>
      <c r="Y1149" s="79" t="s">
        <v>1946</v>
      </c>
    </row>
    <row r="1150" spans="1:25" ht="12.75" customHeight="1" x14ac:dyDescent="0.2">
      <c r="A1150" s="91">
        <f t="shared" si="28"/>
        <v>1</v>
      </c>
      <c r="B1150" s="79" t="s">
        <v>2354</v>
      </c>
      <c r="C1150" s="79" t="s">
        <v>2354</v>
      </c>
      <c r="D1150" s="79" t="s">
        <v>2353</v>
      </c>
      <c r="E1150" s="55" t="s">
        <v>3222</v>
      </c>
      <c r="F1150" s="79" t="s">
        <v>2353</v>
      </c>
      <c r="G1150" s="79" t="s">
        <v>1987</v>
      </c>
      <c r="H1150" s="79" t="s">
        <v>2791</v>
      </c>
      <c r="I1150" s="79" t="s">
        <v>1489</v>
      </c>
      <c r="J1150" s="79" t="s">
        <v>1988</v>
      </c>
      <c r="K1150" s="79" t="s">
        <v>1489</v>
      </c>
      <c r="L1150" s="79" t="s">
        <v>1989</v>
      </c>
      <c r="Y1150" s="79" t="s">
        <v>1869</v>
      </c>
    </row>
    <row r="1151" spans="1:25" ht="12.75" customHeight="1" x14ac:dyDescent="0.2">
      <c r="A1151" s="91">
        <f t="shared" ref="A1151:A1214" si="29">IF(B1151=B452,1,"CHECK")</f>
        <v>1</v>
      </c>
      <c r="B1151" s="79" t="s">
        <v>2352</v>
      </c>
      <c r="C1151" s="79" t="s">
        <v>2352</v>
      </c>
      <c r="D1151" s="79" t="s">
        <v>2351</v>
      </c>
      <c r="E1151" s="55" t="s">
        <v>3223</v>
      </c>
      <c r="F1151" s="79" t="s">
        <v>2351</v>
      </c>
      <c r="G1151" s="79" t="s">
        <v>1487</v>
      </c>
      <c r="H1151" s="79" t="s">
        <v>2791</v>
      </c>
      <c r="I1151" s="79" t="s">
        <v>1489</v>
      </c>
      <c r="J1151" s="79" t="s">
        <v>1488</v>
      </c>
      <c r="K1151" s="79" t="s">
        <v>1489</v>
      </c>
      <c r="L1151" s="79" t="s">
        <v>1490</v>
      </c>
      <c r="Y1151" s="79" t="s">
        <v>1061</v>
      </c>
    </row>
    <row r="1152" spans="1:25" ht="12.75" customHeight="1" x14ac:dyDescent="0.2">
      <c r="A1152" s="91">
        <f t="shared" si="29"/>
        <v>1</v>
      </c>
      <c r="B1152" s="79" t="s">
        <v>2441</v>
      </c>
      <c r="C1152" s="79" t="s">
        <v>2441</v>
      </c>
      <c r="D1152" s="79" t="s">
        <v>2440</v>
      </c>
      <c r="E1152" s="55" t="s">
        <v>3235</v>
      </c>
      <c r="F1152" s="79" t="s">
        <v>2440</v>
      </c>
      <c r="G1152" s="79" t="s">
        <v>1411</v>
      </c>
      <c r="H1152" s="79" t="s">
        <v>2791</v>
      </c>
      <c r="I1152" s="79" t="s">
        <v>2769</v>
      </c>
      <c r="J1152" s="79" t="s">
        <v>1323</v>
      </c>
      <c r="K1152" s="79" t="s">
        <v>707</v>
      </c>
      <c r="L1152" s="79" t="s">
        <v>1324</v>
      </c>
      <c r="Y1152" s="79" t="s">
        <v>1785</v>
      </c>
    </row>
    <row r="1153" spans="1:25" ht="12.75" customHeight="1" x14ac:dyDescent="0.2">
      <c r="A1153" s="91">
        <f t="shared" si="29"/>
        <v>1</v>
      </c>
      <c r="B1153" s="79" t="s">
        <v>1731</v>
      </c>
      <c r="C1153" s="79" t="s">
        <v>1731</v>
      </c>
      <c r="D1153" s="79" t="s">
        <v>1730</v>
      </c>
      <c r="E1153" s="55" t="s">
        <v>3385</v>
      </c>
      <c r="F1153" s="79" t="s">
        <v>1730</v>
      </c>
      <c r="G1153" s="79" t="s">
        <v>1732</v>
      </c>
      <c r="H1153" s="79" t="s">
        <v>2775</v>
      </c>
      <c r="I1153" s="79" t="s">
        <v>2779</v>
      </c>
      <c r="J1153" s="79" t="s">
        <v>1733</v>
      </c>
      <c r="K1153" s="79" t="s">
        <v>707</v>
      </c>
      <c r="L1153" s="79" t="s">
        <v>1734</v>
      </c>
      <c r="Y1153" s="79" t="s">
        <v>1876</v>
      </c>
    </row>
    <row r="1154" spans="1:25" ht="12.75" customHeight="1" x14ac:dyDescent="0.2">
      <c r="A1154" s="91">
        <f t="shared" si="29"/>
        <v>1</v>
      </c>
      <c r="B1154" s="79" t="s">
        <v>1396</v>
      </c>
      <c r="C1154" s="79" t="s">
        <v>1396</v>
      </c>
      <c r="D1154" s="79" t="s">
        <v>1395</v>
      </c>
      <c r="E1154" s="55" t="s">
        <v>3386</v>
      </c>
      <c r="F1154" s="79" t="s">
        <v>1395</v>
      </c>
      <c r="G1154" s="79" t="s">
        <v>1397</v>
      </c>
      <c r="H1154" s="79" t="s">
        <v>2762</v>
      </c>
      <c r="I1154" s="79" t="s">
        <v>2763</v>
      </c>
      <c r="J1154" s="79" t="s">
        <v>733</v>
      </c>
      <c r="K1154" s="79" t="s">
        <v>707</v>
      </c>
      <c r="L1154" s="79" t="s">
        <v>1398</v>
      </c>
      <c r="Y1154" s="79" t="s">
        <v>1671</v>
      </c>
    </row>
    <row r="1155" spans="1:25" ht="12.75" customHeight="1" x14ac:dyDescent="0.2">
      <c r="A1155" s="91">
        <f t="shared" si="29"/>
        <v>1</v>
      </c>
      <c r="B1155" s="79" t="s">
        <v>1021</v>
      </c>
      <c r="C1155" s="79" t="s">
        <v>1021</v>
      </c>
      <c r="D1155" s="79" t="s">
        <v>1020</v>
      </c>
      <c r="E1155" s="55" t="s">
        <v>3387</v>
      </c>
      <c r="F1155" s="79" t="s">
        <v>1020</v>
      </c>
      <c r="G1155" s="79" t="s">
        <v>1022</v>
      </c>
      <c r="H1155" s="79" t="s">
        <v>2772</v>
      </c>
      <c r="I1155" s="79" t="s">
        <v>2773</v>
      </c>
      <c r="J1155" s="79" t="s">
        <v>1023</v>
      </c>
      <c r="K1155" s="79" t="s">
        <v>707</v>
      </c>
      <c r="L1155" s="79" t="s">
        <v>1024</v>
      </c>
      <c r="Y1155" s="79" t="s">
        <v>1581</v>
      </c>
    </row>
    <row r="1156" spans="1:25" ht="12.75" customHeight="1" x14ac:dyDescent="0.2">
      <c r="A1156" s="91">
        <f t="shared" si="29"/>
        <v>1</v>
      </c>
      <c r="B1156" s="79" t="s">
        <v>1113</v>
      </c>
      <c r="C1156" s="79" t="s">
        <v>1113</v>
      </c>
      <c r="D1156" s="79" t="s">
        <v>1112</v>
      </c>
      <c r="E1156" s="55" t="s">
        <v>3388</v>
      </c>
      <c r="F1156" s="79" t="s">
        <v>1112</v>
      </c>
      <c r="G1156" s="79" t="s">
        <v>1114</v>
      </c>
      <c r="H1156" s="79" t="s">
        <v>2772</v>
      </c>
      <c r="I1156" s="79" t="s">
        <v>2806</v>
      </c>
      <c r="J1156" s="79" t="s">
        <v>945</v>
      </c>
      <c r="K1156" s="79" t="s">
        <v>707</v>
      </c>
      <c r="L1156" s="79" t="s">
        <v>946</v>
      </c>
      <c r="Y1156" s="79" t="s">
        <v>802</v>
      </c>
    </row>
    <row r="1157" spans="1:25" ht="12.75" customHeight="1" x14ac:dyDescent="0.2">
      <c r="A1157" s="91">
        <f t="shared" si="29"/>
        <v>1</v>
      </c>
      <c r="B1157" s="79" t="s">
        <v>2504</v>
      </c>
      <c r="C1157" s="79" t="s">
        <v>2504</v>
      </c>
      <c r="D1157" s="79" t="s">
        <v>2503</v>
      </c>
      <c r="E1157" s="55" t="s">
        <v>3389</v>
      </c>
      <c r="F1157" s="79" t="s">
        <v>2503</v>
      </c>
      <c r="G1157" s="79" t="s">
        <v>2505</v>
      </c>
      <c r="H1157" s="79" t="s">
        <v>2759</v>
      </c>
      <c r="I1157" s="79" t="s">
        <v>2785</v>
      </c>
      <c r="J1157" s="79" t="s">
        <v>2506</v>
      </c>
      <c r="K1157" s="79" t="s">
        <v>707</v>
      </c>
      <c r="L1157" s="79" t="s">
        <v>2507</v>
      </c>
      <c r="Y1157" s="79" t="s">
        <v>814</v>
      </c>
    </row>
    <row r="1158" spans="1:25" ht="12.75" customHeight="1" x14ac:dyDescent="0.2">
      <c r="A1158" s="91">
        <f t="shared" si="29"/>
        <v>1</v>
      </c>
      <c r="B1158" s="79" t="s">
        <v>2502</v>
      </c>
      <c r="C1158" s="79" t="s">
        <v>2502</v>
      </c>
      <c r="D1158" s="79" t="s">
        <v>2501</v>
      </c>
      <c r="E1158" s="55" t="s">
        <v>3187</v>
      </c>
      <c r="F1158" s="79" t="s">
        <v>2501</v>
      </c>
      <c r="G1158" s="79" t="s">
        <v>958</v>
      </c>
      <c r="H1158" s="79" t="s">
        <v>2759</v>
      </c>
      <c r="I1158" s="79" t="s">
        <v>2760</v>
      </c>
      <c r="J1158" s="79" t="s">
        <v>843</v>
      </c>
      <c r="K1158" s="79" t="s">
        <v>707</v>
      </c>
      <c r="L1158" s="79" t="s">
        <v>955</v>
      </c>
      <c r="Y1158" s="79" t="s">
        <v>845</v>
      </c>
    </row>
    <row r="1159" spans="1:25" ht="12.75" customHeight="1" x14ac:dyDescent="0.2">
      <c r="A1159" s="91">
        <f t="shared" si="29"/>
        <v>1</v>
      </c>
      <c r="B1159" s="79" t="s">
        <v>3153</v>
      </c>
      <c r="C1159" s="79" t="s">
        <v>3153</v>
      </c>
      <c r="D1159" s="79" t="s">
        <v>3154</v>
      </c>
      <c r="E1159" s="55" t="s">
        <v>3216</v>
      </c>
      <c r="F1159" s="79" t="s">
        <v>3154</v>
      </c>
      <c r="G1159" s="79" t="s">
        <v>3155</v>
      </c>
      <c r="H1159" s="79" t="s">
        <v>2762</v>
      </c>
      <c r="I1159" s="79" t="s">
        <v>2790</v>
      </c>
      <c r="J1159" s="79" t="s">
        <v>979</v>
      </c>
      <c r="K1159" s="79" t="s">
        <v>707</v>
      </c>
      <c r="L1159" s="79" t="s">
        <v>980</v>
      </c>
      <c r="Y1159" s="79" t="s">
        <v>840</v>
      </c>
    </row>
    <row r="1160" spans="1:25" ht="12.75" customHeight="1" x14ac:dyDescent="0.2">
      <c r="A1160" s="91">
        <f t="shared" si="29"/>
        <v>1</v>
      </c>
      <c r="B1160" s="79" t="s">
        <v>1572</v>
      </c>
      <c r="C1160" s="79" t="s">
        <v>1572</v>
      </c>
      <c r="D1160" s="79" t="s">
        <v>1571</v>
      </c>
      <c r="E1160" s="55" t="s">
        <v>3234</v>
      </c>
      <c r="F1160" s="79" t="s">
        <v>1571</v>
      </c>
      <c r="G1160" s="79" t="s">
        <v>1573</v>
      </c>
      <c r="H1160" s="79" t="s">
        <v>2786</v>
      </c>
      <c r="I1160" s="79" t="s">
        <v>2787</v>
      </c>
      <c r="J1160" s="79" t="s">
        <v>1574</v>
      </c>
      <c r="K1160" s="79" t="s">
        <v>707</v>
      </c>
      <c r="L1160" s="79" t="s">
        <v>1575</v>
      </c>
      <c r="Y1160" s="79" t="s">
        <v>810</v>
      </c>
    </row>
    <row r="1161" spans="1:25" ht="12.75" customHeight="1" x14ac:dyDescent="0.2">
      <c r="A1161" s="91">
        <f t="shared" si="29"/>
        <v>1</v>
      </c>
      <c r="B1161" s="79" t="s">
        <v>2735</v>
      </c>
      <c r="C1161" s="79" t="s">
        <v>2735</v>
      </c>
      <c r="D1161" s="79" t="s">
        <v>2734</v>
      </c>
      <c r="E1161" s="55" t="s">
        <v>3208</v>
      </c>
      <c r="F1161" s="79" t="s">
        <v>2734</v>
      </c>
      <c r="G1161" s="79" t="s">
        <v>1913</v>
      </c>
      <c r="H1161" s="79" t="s">
        <v>2782</v>
      </c>
      <c r="I1161" s="79" t="s">
        <v>2764</v>
      </c>
      <c r="J1161" s="79" t="s">
        <v>1914</v>
      </c>
      <c r="K1161" s="79" t="s">
        <v>1489</v>
      </c>
      <c r="L1161" s="79" t="s">
        <v>1915</v>
      </c>
      <c r="Y1161" s="79" t="s">
        <v>829</v>
      </c>
    </row>
    <row r="1162" spans="1:25" ht="12.75" customHeight="1" x14ac:dyDescent="0.2">
      <c r="A1162" s="91">
        <f t="shared" si="29"/>
        <v>1</v>
      </c>
      <c r="B1162" s="79" t="s">
        <v>2733</v>
      </c>
      <c r="C1162" s="79" t="s">
        <v>2733</v>
      </c>
      <c r="D1162" s="79" t="s">
        <v>2732</v>
      </c>
      <c r="E1162" s="55" t="s">
        <v>3209</v>
      </c>
      <c r="F1162" s="79" t="s">
        <v>2732</v>
      </c>
      <c r="G1162" s="79" t="s">
        <v>1908</v>
      </c>
      <c r="H1162" s="79" t="s">
        <v>2782</v>
      </c>
      <c r="I1162" s="79" t="s">
        <v>2764</v>
      </c>
      <c r="J1162" s="79" t="s">
        <v>1909</v>
      </c>
      <c r="K1162" s="79" t="s">
        <v>1489</v>
      </c>
      <c r="L1162" s="79" t="s">
        <v>1910</v>
      </c>
      <c r="Y1162" s="79" t="s">
        <v>832</v>
      </c>
    </row>
    <row r="1163" spans="1:25" ht="12.75" customHeight="1" x14ac:dyDescent="0.2">
      <c r="A1163" s="91">
        <f t="shared" si="29"/>
        <v>1</v>
      </c>
      <c r="B1163" s="79" t="s">
        <v>2730</v>
      </c>
      <c r="C1163" s="79" t="s">
        <v>2730</v>
      </c>
      <c r="D1163" s="79" t="s">
        <v>2729</v>
      </c>
      <c r="E1163" s="55" t="s">
        <v>3210</v>
      </c>
      <c r="F1163" s="79" t="s">
        <v>2729</v>
      </c>
      <c r="G1163" s="79" t="s">
        <v>1900</v>
      </c>
      <c r="H1163" s="79" t="s">
        <v>2782</v>
      </c>
      <c r="I1163" s="79" t="s">
        <v>2764</v>
      </c>
      <c r="J1163" s="79" t="s">
        <v>1901</v>
      </c>
      <c r="K1163" s="79" t="s">
        <v>1489</v>
      </c>
      <c r="L1163" s="79" t="s">
        <v>1902</v>
      </c>
      <c r="Y1163" s="79" t="s">
        <v>824</v>
      </c>
    </row>
    <row r="1164" spans="1:25" ht="12.75" customHeight="1" x14ac:dyDescent="0.2">
      <c r="A1164" s="91">
        <f t="shared" si="29"/>
        <v>1</v>
      </c>
      <c r="B1164" s="79" t="s">
        <v>2266</v>
      </c>
      <c r="C1164" s="79" t="s">
        <v>2266</v>
      </c>
      <c r="D1164" s="79" t="s">
        <v>2265</v>
      </c>
      <c r="E1164" s="55" t="s">
        <v>3217</v>
      </c>
      <c r="F1164" s="79" t="s">
        <v>2265</v>
      </c>
      <c r="G1164" s="79" t="s">
        <v>1905</v>
      </c>
      <c r="H1164" s="79" t="s">
        <v>2770</v>
      </c>
      <c r="I1164" s="79" t="s">
        <v>2789</v>
      </c>
      <c r="J1164" s="79" t="s">
        <v>1144</v>
      </c>
      <c r="K1164" s="79" t="s">
        <v>707</v>
      </c>
      <c r="L1164" s="79" t="s">
        <v>1145</v>
      </c>
      <c r="Y1164" s="79" t="s">
        <v>819</v>
      </c>
    </row>
    <row r="1165" spans="1:25" ht="12.75" customHeight="1" x14ac:dyDescent="0.2">
      <c r="A1165" s="91">
        <f t="shared" si="29"/>
        <v>1</v>
      </c>
      <c r="B1165" s="79" t="s">
        <v>2266</v>
      </c>
      <c r="C1165" s="79" t="s">
        <v>2266</v>
      </c>
      <c r="D1165" s="79" t="s">
        <v>2731</v>
      </c>
      <c r="E1165" s="55" t="s">
        <v>3217</v>
      </c>
      <c r="F1165" s="79" t="s">
        <v>2731</v>
      </c>
      <c r="G1165" s="79" t="s">
        <v>1905</v>
      </c>
      <c r="H1165" s="79" t="s">
        <v>2770</v>
      </c>
      <c r="I1165" s="79" t="s">
        <v>2789</v>
      </c>
      <c r="J1165" s="79" t="s">
        <v>1144</v>
      </c>
      <c r="K1165" s="79" t="s">
        <v>707</v>
      </c>
      <c r="L1165" s="79" t="s">
        <v>1145</v>
      </c>
      <c r="Y1165" s="79" t="s">
        <v>1196</v>
      </c>
    </row>
    <row r="1166" spans="1:25" ht="12.75" customHeight="1" x14ac:dyDescent="0.2">
      <c r="A1166" s="91">
        <f t="shared" si="29"/>
        <v>1</v>
      </c>
      <c r="B1166" s="79" t="s">
        <v>2264</v>
      </c>
      <c r="C1166" s="79" t="s">
        <v>2264</v>
      </c>
      <c r="D1166" s="79" t="s">
        <v>2263</v>
      </c>
      <c r="E1166" s="55" t="s">
        <v>3210</v>
      </c>
      <c r="F1166" s="79" t="s">
        <v>2263</v>
      </c>
      <c r="G1166" s="79" t="s">
        <v>1900</v>
      </c>
      <c r="H1166" s="79" t="s">
        <v>2782</v>
      </c>
      <c r="I1166" s="79" t="s">
        <v>2764</v>
      </c>
      <c r="J1166" s="79" t="s">
        <v>1901</v>
      </c>
      <c r="K1166" s="79" t="s">
        <v>1489</v>
      </c>
      <c r="L1166" s="79" t="s">
        <v>1902</v>
      </c>
      <c r="Y1166" s="79" t="s">
        <v>1881</v>
      </c>
    </row>
    <row r="1167" spans="1:25" ht="12.75" customHeight="1" x14ac:dyDescent="0.2">
      <c r="A1167" s="91">
        <f t="shared" si="29"/>
        <v>1</v>
      </c>
      <c r="B1167" s="79" t="s">
        <v>2272</v>
      </c>
      <c r="C1167" s="79" t="s">
        <v>2272</v>
      </c>
      <c r="D1167" s="79" t="s">
        <v>2271</v>
      </c>
      <c r="E1167" s="55" t="s">
        <v>3222</v>
      </c>
      <c r="F1167" s="79" t="s">
        <v>2271</v>
      </c>
      <c r="G1167" s="79" t="s">
        <v>1987</v>
      </c>
      <c r="H1167" s="79" t="s">
        <v>2791</v>
      </c>
      <c r="I1167" s="79" t="s">
        <v>1489</v>
      </c>
      <c r="J1167" s="79" t="s">
        <v>1988</v>
      </c>
      <c r="K1167" s="79" t="s">
        <v>1489</v>
      </c>
      <c r="L1167" s="79" t="s">
        <v>1989</v>
      </c>
      <c r="Y1167" s="79" t="s">
        <v>1886</v>
      </c>
    </row>
    <row r="1168" spans="1:25" ht="12.75" customHeight="1" x14ac:dyDescent="0.2">
      <c r="A1168" s="91">
        <f t="shared" si="29"/>
        <v>1</v>
      </c>
      <c r="B1168" s="79" t="s">
        <v>2262</v>
      </c>
      <c r="C1168" s="79" t="s">
        <v>2262</v>
      </c>
      <c r="D1168" s="79" t="s">
        <v>2261</v>
      </c>
      <c r="E1168" s="55" t="s">
        <v>3223</v>
      </c>
      <c r="F1168" s="79" t="s">
        <v>2261</v>
      </c>
      <c r="G1168" s="79" t="s">
        <v>1487</v>
      </c>
      <c r="H1168" s="79" t="s">
        <v>2791</v>
      </c>
      <c r="I1168" s="79" t="s">
        <v>1489</v>
      </c>
      <c r="J1168" s="79" t="s">
        <v>1488</v>
      </c>
      <c r="K1168" s="79" t="s">
        <v>1489</v>
      </c>
      <c r="L1168" s="79" t="s">
        <v>1490</v>
      </c>
      <c r="Y1168" s="79" t="s">
        <v>2394</v>
      </c>
    </row>
    <row r="1169" spans="1:25" ht="12.75" customHeight="1" x14ac:dyDescent="0.2">
      <c r="A1169" s="91">
        <f t="shared" si="29"/>
        <v>1</v>
      </c>
      <c r="B1169" s="79" t="s">
        <v>2276</v>
      </c>
      <c r="C1169" s="79" t="s">
        <v>2276</v>
      </c>
      <c r="D1169" s="79" t="s">
        <v>2275</v>
      </c>
      <c r="E1169" s="55" t="s">
        <v>3224</v>
      </c>
      <c r="F1169" s="79" t="s">
        <v>2275</v>
      </c>
      <c r="G1169" s="79" t="s">
        <v>909</v>
      </c>
      <c r="H1169" s="79" t="s">
        <v>2782</v>
      </c>
      <c r="I1169" s="79" t="s">
        <v>2792</v>
      </c>
      <c r="J1169" s="79" t="s">
        <v>910</v>
      </c>
      <c r="K1169" s="79" t="s">
        <v>707</v>
      </c>
      <c r="L1169" s="79" t="s">
        <v>911</v>
      </c>
      <c r="Y1169" s="79" t="s">
        <v>2083</v>
      </c>
    </row>
    <row r="1170" spans="1:25" ht="12.75" customHeight="1" x14ac:dyDescent="0.2">
      <c r="A1170" s="91">
        <f t="shared" si="29"/>
        <v>1</v>
      </c>
      <c r="B1170" s="79" t="s">
        <v>2274</v>
      </c>
      <c r="C1170" s="79" t="s">
        <v>2274</v>
      </c>
      <c r="D1170" s="79" t="s">
        <v>2273</v>
      </c>
      <c r="E1170" s="55" t="s">
        <v>3269</v>
      </c>
      <c r="F1170" s="79" t="s">
        <v>2273</v>
      </c>
      <c r="G1170" s="79" t="s">
        <v>2012</v>
      </c>
      <c r="H1170" s="79" t="s">
        <v>2791</v>
      </c>
      <c r="I1170" s="79" t="s">
        <v>2764</v>
      </c>
      <c r="J1170" s="79" t="s">
        <v>2013</v>
      </c>
      <c r="K1170" s="79" t="s">
        <v>1489</v>
      </c>
      <c r="L1170" s="79" t="s">
        <v>2014</v>
      </c>
      <c r="Y1170" s="79" t="s">
        <v>1208</v>
      </c>
    </row>
    <row r="1171" spans="1:25" ht="12.75" customHeight="1" x14ac:dyDescent="0.2">
      <c r="A1171" s="91">
        <f t="shared" si="29"/>
        <v>1</v>
      </c>
      <c r="B1171" s="79" t="s">
        <v>2278</v>
      </c>
      <c r="C1171" s="79" t="s">
        <v>2278</v>
      </c>
      <c r="D1171" s="79" t="s">
        <v>2277</v>
      </c>
      <c r="E1171" s="55" t="s">
        <v>3227</v>
      </c>
      <c r="F1171" s="79" t="s">
        <v>2277</v>
      </c>
      <c r="G1171" s="79" t="s">
        <v>1926</v>
      </c>
      <c r="H1171" s="79" t="s">
        <v>2782</v>
      </c>
      <c r="I1171" s="79" t="s">
        <v>2784</v>
      </c>
      <c r="J1171" s="79" t="s">
        <v>1927</v>
      </c>
      <c r="K1171" s="79" t="s">
        <v>707</v>
      </c>
      <c r="L1171" s="79" t="s">
        <v>1928</v>
      </c>
      <c r="Y1171" s="79" t="s">
        <v>1203</v>
      </c>
    </row>
    <row r="1172" spans="1:25" ht="12.75" customHeight="1" x14ac:dyDescent="0.2">
      <c r="A1172" s="91">
        <f t="shared" si="29"/>
        <v>1</v>
      </c>
      <c r="B1172" s="79" t="s">
        <v>2268</v>
      </c>
      <c r="C1172" s="79" t="s">
        <v>2268</v>
      </c>
      <c r="D1172" s="79" t="s">
        <v>2267</v>
      </c>
      <c r="E1172" s="55" t="s">
        <v>3209</v>
      </c>
      <c r="F1172" s="79" t="s">
        <v>2267</v>
      </c>
      <c r="G1172" s="79" t="s">
        <v>1908</v>
      </c>
      <c r="H1172" s="79" t="s">
        <v>2782</v>
      </c>
      <c r="I1172" s="79" t="s">
        <v>2764</v>
      </c>
      <c r="J1172" s="79" t="s">
        <v>1909</v>
      </c>
      <c r="K1172" s="79" t="s">
        <v>1489</v>
      </c>
      <c r="L1172" s="79" t="s">
        <v>1910</v>
      </c>
    </row>
    <row r="1173" spans="1:25" ht="12.75" customHeight="1" x14ac:dyDescent="0.2">
      <c r="A1173" s="91">
        <f t="shared" si="29"/>
        <v>1</v>
      </c>
      <c r="B1173" s="79" t="s">
        <v>2270</v>
      </c>
      <c r="C1173" s="79" t="s">
        <v>2270</v>
      </c>
      <c r="D1173" s="79" t="s">
        <v>2269</v>
      </c>
      <c r="E1173" s="55" t="s">
        <v>3208</v>
      </c>
      <c r="F1173" s="79" t="s">
        <v>2269</v>
      </c>
      <c r="G1173" s="79" t="s">
        <v>1913</v>
      </c>
      <c r="H1173" s="79" t="s">
        <v>2782</v>
      </c>
      <c r="I1173" s="79" t="s">
        <v>2764</v>
      </c>
      <c r="J1173" s="79" t="s">
        <v>1914</v>
      </c>
      <c r="K1173" s="79" t="s">
        <v>1489</v>
      </c>
      <c r="L1173" s="79" t="s">
        <v>1915</v>
      </c>
    </row>
    <row r="1174" spans="1:25" ht="12.75" customHeight="1" x14ac:dyDescent="0.2">
      <c r="A1174" s="91">
        <f t="shared" si="29"/>
        <v>1</v>
      </c>
      <c r="B1174" s="79" t="s">
        <v>1242</v>
      </c>
      <c r="C1174" s="79" t="s">
        <v>1242</v>
      </c>
      <c r="D1174" s="79" t="s">
        <v>1241</v>
      </c>
      <c r="E1174" s="55" t="s">
        <v>3390</v>
      </c>
      <c r="F1174" s="79" t="s">
        <v>1241</v>
      </c>
      <c r="G1174" s="79" t="s">
        <v>1243</v>
      </c>
      <c r="H1174" s="79" t="s">
        <v>2767</v>
      </c>
      <c r="I1174" s="79" t="s">
        <v>2842</v>
      </c>
      <c r="J1174" s="79" t="s">
        <v>1244</v>
      </c>
      <c r="K1174" s="79" t="s">
        <v>707</v>
      </c>
      <c r="L1174" s="79" t="s">
        <v>1245</v>
      </c>
    </row>
    <row r="1175" spans="1:25" ht="12.75" customHeight="1" x14ac:dyDescent="0.2">
      <c r="A1175" s="91">
        <f t="shared" si="29"/>
        <v>1</v>
      </c>
      <c r="B1175" s="79" t="s">
        <v>1356</v>
      </c>
      <c r="C1175" s="79" t="s">
        <v>1356</v>
      </c>
      <c r="D1175" s="79" t="s">
        <v>1355</v>
      </c>
      <c r="E1175" s="55" t="s">
        <v>3391</v>
      </c>
      <c r="F1175" s="79" t="s">
        <v>1355</v>
      </c>
      <c r="G1175" s="79" t="s">
        <v>1357</v>
      </c>
      <c r="H1175" s="79" t="s">
        <v>2762</v>
      </c>
      <c r="I1175" s="79" t="s">
        <v>2790</v>
      </c>
      <c r="J1175" s="79" t="s">
        <v>1252</v>
      </c>
      <c r="K1175" s="79" t="s">
        <v>707</v>
      </c>
      <c r="L1175" s="79" t="s">
        <v>1358</v>
      </c>
    </row>
    <row r="1176" spans="1:25" ht="12.75" customHeight="1" x14ac:dyDescent="0.2">
      <c r="A1176" s="91">
        <f t="shared" si="29"/>
        <v>1</v>
      </c>
      <c r="B1176" s="79" t="s">
        <v>1594</v>
      </c>
      <c r="C1176" s="79" t="s">
        <v>1594</v>
      </c>
      <c r="D1176" s="79" t="s">
        <v>1593</v>
      </c>
      <c r="E1176" s="55" t="s">
        <v>3392</v>
      </c>
      <c r="F1176" s="79" t="s">
        <v>1593</v>
      </c>
      <c r="G1176" s="79" t="s">
        <v>1595</v>
      </c>
      <c r="H1176" s="79" t="s">
        <v>2786</v>
      </c>
      <c r="I1176" s="79" t="s">
        <v>2832</v>
      </c>
      <c r="J1176" s="79" t="s">
        <v>1596</v>
      </c>
      <c r="K1176" s="79" t="s">
        <v>707</v>
      </c>
      <c r="L1176" s="79" t="s">
        <v>1597</v>
      </c>
    </row>
    <row r="1177" spans="1:25" ht="12.75" customHeight="1" x14ac:dyDescent="0.2">
      <c r="A1177" s="91">
        <f t="shared" si="29"/>
        <v>1</v>
      </c>
      <c r="B1177" s="79" t="s">
        <v>1746</v>
      </c>
      <c r="C1177" s="79" t="s">
        <v>1746</v>
      </c>
      <c r="D1177" s="79" t="s">
        <v>1745</v>
      </c>
      <c r="E1177" s="55" t="s">
        <v>3393</v>
      </c>
      <c r="F1177" s="79" t="s">
        <v>1745</v>
      </c>
      <c r="G1177" s="79" t="s">
        <v>1747</v>
      </c>
      <c r="H1177" s="79" t="s">
        <v>2775</v>
      </c>
      <c r="I1177" s="79" t="s">
        <v>2796</v>
      </c>
      <c r="J1177" s="79" t="s">
        <v>1748</v>
      </c>
      <c r="K1177" s="79" t="s">
        <v>707</v>
      </c>
      <c r="L1177" s="79" t="s">
        <v>1749</v>
      </c>
    </row>
    <row r="1178" spans="1:25" ht="12.75" customHeight="1" x14ac:dyDescent="0.2">
      <c r="A1178" s="91">
        <f t="shared" si="29"/>
        <v>1</v>
      </c>
      <c r="B1178" s="79" t="s">
        <v>2091</v>
      </c>
      <c r="C1178" s="79" t="s">
        <v>2091</v>
      </c>
      <c r="D1178" s="79" t="s">
        <v>2090</v>
      </c>
      <c r="E1178" s="55" t="s">
        <v>3330</v>
      </c>
      <c r="F1178" s="79" t="s">
        <v>2090</v>
      </c>
      <c r="G1178" s="79" t="s">
        <v>2092</v>
      </c>
      <c r="H1178" s="79" t="s">
        <v>2780</v>
      </c>
      <c r="I1178" s="79" t="s">
        <v>2820</v>
      </c>
      <c r="J1178" s="79" t="s">
        <v>2093</v>
      </c>
      <c r="K1178" s="79" t="s">
        <v>707</v>
      </c>
      <c r="L1178" s="79" t="s">
        <v>2094</v>
      </c>
    </row>
    <row r="1179" spans="1:25" ht="12.75" customHeight="1" x14ac:dyDescent="0.2">
      <c r="A1179" s="91">
        <f t="shared" si="29"/>
        <v>1</v>
      </c>
      <c r="B1179" s="79" t="s">
        <v>2096</v>
      </c>
      <c r="C1179" s="79" t="s">
        <v>2096</v>
      </c>
      <c r="D1179" s="79" t="s">
        <v>2095</v>
      </c>
      <c r="E1179" s="55" t="s">
        <v>3329</v>
      </c>
      <c r="F1179" s="79" t="s">
        <v>2095</v>
      </c>
      <c r="G1179" s="79" t="s">
        <v>2097</v>
      </c>
      <c r="H1179" s="79" t="s">
        <v>2786</v>
      </c>
      <c r="I1179" s="79" t="s">
        <v>2831</v>
      </c>
      <c r="J1179" s="79" t="s">
        <v>1547</v>
      </c>
      <c r="K1179" s="79" t="s">
        <v>707</v>
      </c>
      <c r="L1179" s="79" t="s">
        <v>1548</v>
      </c>
    </row>
    <row r="1180" spans="1:25" ht="12.75" customHeight="1" x14ac:dyDescent="0.2">
      <c r="A1180" s="91">
        <f t="shared" si="29"/>
        <v>1</v>
      </c>
      <c r="B1180" s="79" t="s">
        <v>1609</v>
      </c>
      <c r="C1180" s="79" t="s">
        <v>1609</v>
      </c>
      <c r="D1180" s="79" t="s">
        <v>1608</v>
      </c>
      <c r="E1180" s="55" t="s">
        <v>3329</v>
      </c>
      <c r="F1180" s="79" t="s">
        <v>1608</v>
      </c>
      <c r="G1180" s="79" t="s">
        <v>1546</v>
      </c>
      <c r="H1180" s="79" t="s">
        <v>2786</v>
      </c>
      <c r="I1180" s="79" t="s">
        <v>2831</v>
      </c>
      <c r="J1180" s="79" t="s">
        <v>1547</v>
      </c>
      <c r="K1180" s="79" t="s">
        <v>707</v>
      </c>
      <c r="L1180" s="79" t="s">
        <v>1548</v>
      </c>
    </row>
    <row r="1181" spans="1:25" ht="12.75" customHeight="1" x14ac:dyDescent="0.2">
      <c r="A1181" s="91">
        <f t="shared" si="29"/>
        <v>1</v>
      </c>
      <c r="B1181" s="79" t="s">
        <v>1607</v>
      </c>
      <c r="C1181" s="79" t="s">
        <v>1607</v>
      </c>
      <c r="D1181" s="79" t="s">
        <v>1606</v>
      </c>
      <c r="E1181" s="55" t="s">
        <v>3394</v>
      </c>
      <c r="F1181" s="79" t="s">
        <v>1606</v>
      </c>
      <c r="G1181" s="79" t="s">
        <v>1603</v>
      </c>
      <c r="H1181" s="79" t="s">
        <v>2834</v>
      </c>
      <c r="I1181" s="79" t="s">
        <v>2840</v>
      </c>
      <c r="J1181" s="79" t="s">
        <v>1604</v>
      </c>
      <c r="K1181" s="79" t="s">
        <v>707</v>
      </c>
      <c r="L1181" s="79" t="s">
        <v>1605</v>
      </c>
    </row>
    <row r="1182" spans="1:25" ht="12.75" customHeight="1" x14ac:dyDescent="0.2">
      <c r="A1182" s="91">
        <f t="shared" si="29"/>
        <v>1</v>
      </c>
      <c r="B1182" s="79" t="s">
        <v>1602</v>
      </c>
      <c r="C1182" s="79" t="s">
        <v>1602</v>
      </c>
      <c r="D1182" s="79" t="s">
        <v>1601</v>
      </c>
      <c r="E1182" s="55" t="s">
        <v>3394</v>
      </c>
      <c r="F1182" s="79" t="s">
        <v>1601</v>
      </c>
      <c r="G1182" s="79" t="s">
        <v>1603</v>
      </c>
      <c r="H1182" s="79" t="s">
        <v>2834</v>
      </c>
      <c r="I1182" s="79" t="s">
        <v>2840</v>
      </c>
      <c r="J1182" s="79" t="s">
        <v>1604</v>
      </c>
      <c r="K1182" s="79" t="s">
        <v>707</v>
      </c>
      <c r="L1182" s="79" t="s">
        <v>1605</v>
      </c>
    </row>
    <row r="1183" spans="1:25" ht="12.75" customHeight="1" x14ac:dyDescent="0.2">
      <c r="A1183" s="91">
        <f t="shared" si="29"/>
        <v>1</v>
      </c>
      <c r="B1183" s="79" t="s">
        <v>1602</v>
      </c>
      <c r="C1183" s="79" t="s">
        <v>1602</v>
      </c>
      <c r="D1183" s="79" t="s">
        <v>2684</v>
      </c>
      <c r="E1183" s="55" t="s">
        <v>3394</v>
      </c>
      <c r="F1183" s="79" t="s">
        <v>2684</v>
      </c>
      <c r="G1183" s="79" t="s">
        <v>1603</v>
      </c>
      <c r="H1183" s="79" t="s">
        <v>2786</v>
      </c>
      <c r="I1183" s="79" t="s">
        <v>2840</v>
      </c>
      <c r="J1183" s="79" t="s">
        <v>1604</v>
      </c>
      <c r="K1183" s="79" t="s">
        <v>707</v>
      </c>
      <c r="L1183" s="79" t="s">
        <v>1605</v>
      </c>
    </row>
    <row r="1184" spans="1:25" ht="12.75" customHeight="1" x14ac:dyDescent="0.2">
      <c r="A1184" s="91">
        <f t="shared" si="29"/>
        <v>1</v>
      </c>
      <c r="B1184" s="79" t="s">
        <v>1602</v>
      </c>
      <c r="C1184" s="79" t="s">
        <v>1602</v>
      </c>
      <c r="D1184" s="79" t="s">
        <v>2685</v>
      </c>
      <c r="E1184" s="55" t="s">
        <v>3394</v>
      </c>
      <c r="F1184" s="79" t="s">
        <v>2685</v>
      </c>
      <c r="G1184" s="79" t="s">
        <v>1603</v>
      </c>
      <c r="H1184" s="79" t="s">
        <v>2834</v>
      </c>
      <c r="I1184" s="79" t="s">
        <v>2840</v>
      </c>
      <c r="J1184" s="79" t="s">
        <v>1604</v>
      </c>
      <c r="K1184" s="79" t="s">
        <v>707</v>
      </c>
      <c r="L1184" s="79" t="s">
        <v>1605</v>
      </c>
    </row>
    <row r="1185" spans="1:12" ht="12.75" customHeight="1" x14ac:dyDescent="0.2">
      <c r="A1185" s="91">
        <f t="shared" si="29"/>
        <v>1</v>
      </c>
      <c r="B1185" s="79" t="s">
        <v>1602</v>
      </c>
      <c r="C1185" s="79" t="s">
        <v>1602</v>
      </c>
      <c r="D1185" s="79" t="s">
        <v>2686</v>
      </c>
      <c r="E1185" s="55" t="s">
        <v>3394</v>
      </c>
      <c r="F1185" s="79" t="s">
        <v>2686</v>
      </c>
      <c r="G1185" s="79" t="s">
        <v>1603</v>
      </c>
      <c r="H1185" s="79" t="s">
        <v>2834</v>
      </c>
      <c r="I1185" s="79" t="s">
        <v>2840</v>
      </c>
      <c r="J1185" s="79" t="s">
        <v>1604</v>
      </c>
      <c r="K1185" s="79" t="s">
        <v>707</v>
      </c>
      <c r="L1185" s="79" t="s">
        <v>1605</v>
      </c>
    </row>
    <row r="1186" spans="1:12" ht="12.75" customHeight="1" x14ac:dyDescent="0.2">
      <c r="A1186" s="91">
        <f t="shared" si="29"/>
        <v>1</v>
      </c>
      <c r="B1186" s="79" t="s">
        <v>1513</v>
      </c>
      <c r="C1186" s="79" t="s">
        <v>1513</v>
      </c>
      <c r="D1186" s="79" t="s">
        <v>1512</v>
      </c>
      <c r="E1186" s="55" t="s">
        <v>3355</v>
      </c>
      <c r="F1186" s="79" t="s">
        <v>1512</v>
      </c>
      <c r="G1186" s="79" t="s">
        <v>1514</v>
      </c>
      <c r="H1186" s="79" t="s">
        <v>2786</v>
      </c>
      <c r="I1186" s="79" t="s">
        <v>2793</v>
      </c>
      <c r="J1186" s="79" t="s">
        <v>743</v>
      </c>
      <c r="K1186" s="79" t="s">
        <v>707</v>
      </c>
      <c r="L1186" s="79" t="s">
        <v>744</v>
      </c>
    </row>
    <row r="1187" spans="1:12" ht="12.75" customHeight="1" x14ac:dyDescent="0.2">
      <c r="A1187" s="91">
        <f t="shared" si="29"/>
        <v>1</v>
      </c>
      <c r="B1187" s="79" t="s">
        <v>1513</v>
      </c>
      <c r="C1187" s="79" t="s">
        <v>1513</v>
      </c>
      <c r="D1187" s="79" t="s">
        <v>2671</v>
      </c>
      <c r="E1187" s="55" t="s">
        <v>3355</v>
      </c>
      <c r="F1187" s="79" t="s">
        <v>2671</v>
      </c>
      <c r="G1187" s="79" t="s">
        <v>2672</v>
      </c>
      <c r="H1187" s="79" t="s">
        <v>2786</v>
      </c>
      <c r="I1187" s="79" t="s">
        <v>2793</v>
      </c>
      <c r="J1187" s="79" t="s">
        <v>743</v>
      </c>
      <c r="K1187" s="79" t="s">
        <v>707</v>
      </c>
      <c r="L1187" s="79" t="s">
        <v>744</v>
      </c>
    </row>
    <row r="1188" spans="1:12" ht="12.75" customHeight="1" x14ac:dyDescent="0.2">
      <c r="A1188" s="91">
        <f t="shared" si="29"/>
        <v>1</v>
      </c>
      <c r="B1188" s="79" t="s">
        <v>1513</v>
      </c>
      <c r="C1188" s="79" t="s">
        <v>1513</v>
      </c>
      <c r="D1188" s="79" t="s">
        <v>2673</v>
      </c>
      <c r="E1188" s="55" t="s">
        <v>3355</v>
      </c>
      <c r="F1188" s="79" t="s">
        <v>2673</v>
      </c>
      <c r="G1188" s="79" t="s">
        <v>2672</v>
      </c>
      <c r="H1188" s="79" t="s">
        <v>2786</v>
      </c>
      <c r="I1188" s="79" t="s">
        <v>2793</v>
      </c>
      <c r="J1188" s="79" t="s">
        <v>743</v>
      </c>
      <c r="K1188" s="79" t="s">
        <v>707</v>
      </c>
      <c r="L1188" s="79" t="s">
        <v>744</v>
      </c>
    </row>
    <row r="1189" spans="1:12" ht="12.75" customHeight="1" x14ac:dyDescent="0.2">
      <c r="A1189" s="91">
        <f t="shared" si="29"/>
        <v>1</v>
      </c>
      <c r="B1189" s="79" t="s">
        <v>1513</v>
      </c>
      <c r="C1189" s="79" t="s">
        <v>1513</v>
      </c>
      <c r="D1189" s="79" t="s">
        <v>2674</v>
      </c>
      <c r="E1189" s="55" t="s">
        <v>3355</v>
      </c>
      <c r="F1189" s="79" t="s">
        <v>2674</v>
      </c>
      <c r="G1189" s="79" t="s">
        <v>2675</v>
      </c>
      <c r="H1189" s="79" t="s">
        <v>2786</v>
      </c>
      <c r="I1189" s="79" t="s">
        <v>2793</v>
      </c>
      <c r="J1189" s="79" t="s">
        <v>743</v>
      </c>
      <c r="K1189" s="79" t="s">
        <v>707</v>
      </c>
      <c r="L1189" s="79" t="s">
        <v>744</v>
      </c>
    </row>
    <row r="1190" spans="1:12" ht="12.75" customHeight="1" x14ac:dyDescent="0.2">
      <c r="A1190" s="91">
        <f t="shared" si="29"/>
        <v>1</v>
      </c>
      <c r="B1190" s="79" t="s">
        <v>1516</v>
      </c>
      <c r="C1190" s="79" t="s">
        <v>1516</v>
      </c>
      <c r="D1190" s="79" t="s">
        <v>1515</v>
      </c>
      <c r="E1190" s="55" t="s">
        <v>3331</v>
      </c>
      <c r="F1190" s="79" t="s">
        <v>1515</v>
      </c>
      <c r="G1190" s="79" t="s">
        <v>847</v>
      </c>
      <c r="H1190" s="79" t="s">
        <v>2786</v>
      </c>
      <c r="I1190" s="79" t="s">
        <v>2795</v>
      </c>
      <c r="J1190" s="79" t="s">
        <v>848</v>
      </c>
      <c r="K1190" s="79" t="s">
        <v>707</v>
      </c>
      <c r="L1190" s="79" t="s">
        <v>849</v>
      </c>
    </row>
    <row r="1191" spans="1:12" ht="12.75" customHeight="1" x14ac:dyDescent="0.2">
      <c r="A1191" s="91">
        <f t="shared" si="29"/>
        <v>1</v>
      </c>
      <c r="B1191" s="79" t="s">
        <v>1508</v>
      </c>
      <c r="C1191" s="79" t="s">
        <v>1508</v>
      </c>
      <c r="D1191" s="79" t="s">
        <v>1507</v>
      </c>
      <c r="E1191" s="55" t="s">
        <v>3395</v>
      </c>
      <c r="F1191" s="79" t="s">
        <v>1507</v>
      </c>
      <c r="G1191" s="79" t="s">
        <v>1509</v>
      </c>
      <c r="H1191" s="79" t="s">
        <v>2786</v>
      </c>
      <c r="I1191" s="79" t="s">
        <v>2830</v>
      </c>
      <c r="J1191" s="79" t="s">
        <v>1510</v>
      </c>
      <c r="K1191" s="79" t="s">
        <v>707</v>
      </c>
      <c r="L1191" s="79" t="s">
        <v>1511</v>
      </c>
    </row>
    <row r="1192" spans="1:12" ht="12.75" customHeight="1" x14ac:dyDescent="0.2">
      <c r="A1192" s="91">
        <f t="shared" si="29"/>
        <v>1</v>
      </c>
      <c r="B1192" s="79" t="s">
        <v>2680</v>
      </c>
      <c r="C1192" s="79" t="s">
        <v>2680</v>
      </c>
      <c r="D1192" s="79" t="s">
        <v>2679</v>
      </c>
      <c r="E1192" s="55" t="s">
        <v>3396</v>
      </c>
      <c r="F1192" s="79" t="s">
        <v>2679</v>
      </c>
      <c r="G1192" s="79" t="s">
        <v>1538</v>
      </c>
      <c r="H1192" s="79" t="s">
        <v>2786</v>
      </c>
      <c r="I1192" s="79" t="s">
        <v>2830</v>
      </c>
      <c r="J1192" s="79" t="s">
        <v>1539</v>
      </c>
      <c r="K1192" s="79" t="s">
        <v>707</v>
      </c>
      <c r="L1192" s="79" t="s">
        <v>1540</v>
      </c>
    </row>
    <row r="1193" spans="1:12" ht="12.75" customHeight="1" x14ac:dyDescent="0.2">
      <c r="A1193" s="91">
        <f t="shared" si="29"/>
        <v>1</v>
      </c>
      <c r="B1193" s="79" t="s">
        <v>1545</v>
      </c>
      <c r="C1193" s="79" t="s">
        <v>1545</v>
      </c>
      <c r="D1193" s="79" t="s">
        <v>1544</v>
      </c>
      <c r="E1193" s="55" t="s">
        <v>3329</v>
      </c>
      <c r="F1193" s="79" t="s">
        <v>1544</v>
      </c>
      <c r="G1193" s="79" t="s">
        <v>1546</v>
      </c>
      <c r="H1193" s="79" t="s">
        <v>2786</v>
      </c>
      <c r="I1193" s="79" t="s">
        <v>2831</v>
      </c>
      <c r="J1193" s="79" t="s">
        <v>1547</v>
      </c>
      <c r="K1193" s="79" t="s">
        <v>707</v>
      </c>
      <c r="L1193" s="79" t="s">
        <v>1548</v>
      </c>
    </row>
    <row r="1194" spans="1:12" ht="12.75" customHeight="1" x14ac:dyDescent="0.2">
      <c r="A1194" s="91">
        <f t="shared" si="29"/>
        <v>1</v>
      </c>
      <c r="B1194" s="79" t="s">
        <v>1537</v>
      </c>
      <c r="C1194" s="79" t="s">
        <v>1537</v>
      </c>
      <c r="D1194" s="79" t="s">
        <v>1536</v>
      </c>
      <c r="E1194" s="55" t="s">
        <v>3396</v>
      </c>
      <c r="F1194" s="79" t="s">
        <v>1536</v>
      </c>
      <c r="G1194" s="79" t="s">
        <v>1538</v>
      </c>
      <c r="H1194" s="79" t="s">
        <v>2786</v>
      </c>
      <c r="I1194" s="79" t="s">
        <v>2830</v>
      </c>
      <c r="J1194" s="79" t="s">
        <v>1539</v>
      </c>
      <c r="K1194" s="79" t="s">
        <v>707</v>
      </c>
      <c r="L1194" s="79" t="s">
        <v>1540</v>
      </c>
    </row>
    <row r="1195" spans="1:12" ht="12.75" customHeight="1" x14ac:dyDescent="0.2">
      <c r="A1195" s="91">
        <f t="shared" si="29"/>
        <v>1</v>
      </c>
      <c r="B1195" s="79" t="s">
        <v>1537</v>
      </c>
      <c r="C1195" s="79" t="s">
        <v>1537</v>
      </c>
      <c r="D1195" s="79" t="s">
        <v>2678</v>
      </c>
      <c r="E1195" s="55" t="s">
        <v>3396</v>
      </c>
      <c r="F1195" s="79" t="s">
        <v>2678</v>
      </c>
      <c r="G1195" s="79" t="s">
        <v>1538</v>
      </c>
      <c r="H1195" s="79" t="s">
        <v>2786</v>
      </c>
      <c r="I1195" s="79" t="s">
        <v>2830</v>
      </c>
      <c r="J1195" s="79" t="s">
        <v>1539</v>
      </c>
      <c r="K1195" s="79" t="s">
        <v>707</v>
      </c>
      <c r="L1195" s="79" t="s">
        <v>1540</v>
      </c>
    </row>
    <row r="1196" spans="1:12" ht="12.75" customHeight="1" x14ac:dyDescent="0.2">
      <c r="A1196" s="91">
        <f t="shared" si="29"/>
        <v>1</v>
      </c>
      <c r="B1196" s="79" t="s">
        <v>1542</v>
      </c>
      <c r="C1196" s="79" t="s">
        <v>1542</v>
      </c>
      <c r="D1196" s="79" t="s">
        <v>1541</v>
      </c>
      <c r="E1196" s="55" t="s">
        <v>3331</v>
      </c>
      <c r="F1196" s="79" t="s">
        <v>1541</v>
      </c>
      <c r="G1196" s="79" t="s">
        <v>1543</v>
      </c>
      <c r="H1196" s="79" t="s">
        <v>2786</v>
      </c>
      <c r="I1196" s="79" t="s">
        <v>2795</v>
      </c>
      <c r="J1196" s="79" t="s">
        <v>848</v>
      </c>
      <c r="K1196" s="79" t="s">
        <v>707</v>
      </c>
      <c r="L1196" s="79" t="s">
        <v>849</v>
      </c>
    </row>
    <row r="1197" spans="1:12" ht="12.75" customHeight="1" x14ac:dyDescent="0.2">
      <c r="A1197" s="91">
        <f t="shared" si="29"/>
        <v>1</v>
      </c>
      <c r="B1197" s="79" t="s">
        <v>854</v>
      </c>
      <c r="C1197" s="79" t="s">
        <v>854</v>
      </c>
      <c r="D1197" s="79" t="s">
        <v>853</v>
      </c>
      <c r="E1197" s="55" t="s">
        <v>3397</v>
      </c>
      <c r="F1197" s="79" t="s">
        <v>853</v>
      </c>
      <c r="G1197" s="79" t="s">
        <v>855</v>
      </c>
      <c r="H1197" s="79" t="s">
        <v>2804</v>
      </c>
      <c r="I1197" s="79" t="s">
        <v>2851</v>
      </c>
      <c r="J1197" s="79" t="s">
        <v>856</v>
      </c>
      <c r="K1197" s="79" t="s">
        <v>707</v>
      </c>
      <c r="L1197" s="79" t="s">
        <v>857</v>
      </c>
    </row>
    <row r="1198" spans="1:12" ht="12.75" customHeight="1" x14ac:dyDescent="0.2">
      <c r="A1198" s="91">
        <f t="shared" si="29"/>
        <v>1</v>
      </c>
      <c r="B1198" s="79" t="s">
        <v>1662</v>
      </c>
      <c r="C1198" s="79" t="s">
        <v>1662</v>
      </c>
      <c r="D1198" s="79" t="s">
        <v>1661</v>
      </c>
      <c r="E1198" s="55" t="s">
        <v>3351</v>
      </c>
      <c r="F1198" s="79" t="s">
        <v>1661</v>
      </c>
      <c r="G1198" s="79" t="s">
        <v>3093</v>
      </c>
      <c r="H1198" s="79" t="s">
        <v>2834</v>
      </c>
      <c r="I1198" s="79" t="s">
        <v>2840</v>
      </c>
      <c r="J1198" s="79" t="s">
        <v>1664</v>
      </c>
      <c r="K1198" s="79" t="s">
        <v>707</v>
      </c>
      <c r="L1198" s="79" t="s">
        <v>1665</v>
      </c>
    </row>
    <row r="1199" spans="1:12" ht="12.75" customHeight="1" x14ac:dyDescent="0.2">
      <c r="A1199" s="91">
        <f t="shared" si="29"/>
        <v>1</v>
      </c>
      <c r="B1199" s="79" t="s">
        <v>1611</v>
      </c>
      <c r="C1199" s="79" t="s">
        <v>1611</v>
      </c>
      <c r="D1199" s="79" t="s">
        <v>1610</v>
      </c>
      <c r="E1199" s="55" t="s">
        <v>3398</v>
      </c>
      <c r="F1199" s="79" t="s">
        <v>1610</v>
      </c>
      <c r="G1199" s="79" t="s">
        <v>1612</v>
      </c>
      <c r="H1199" s="79" t="s">
        <v>2834</v>
      </c>
      <c r="I1199" s="79" t="s">
        <v>2840</v>
      </c>
      <c r="J1199" s="79" t="s">
        <v>1613</v>
      </c>
      <c r="K1199" s="79" t="s">
        <v>707</v>
      </c>
      <c r="L1199" s="79" t="s">
        <v>1614</v>
      </c>
    </row>
    <row r="1200" spans="1:12" ht="12.75" customHeight="1" x14ac:dyDescent="0.2">
      <c r="A1200" s="91">
        <f t="shared" si="29"/>
        <v>1</v>
      </c>
      <c r="B1200" s="79" t="s">
        <v>1652</v>
      </c>
      <c r="C1200" s="79" t="s">
        <v>1652</v>
      </c>
      <c r="D1200" s="79" t="s">
        <v>1651</v>
      </c>
      <c r="E1200" s="55" t="s">
        <v>3399</v>
      </c>
      <c r="F1200" s="79" t="s">
        <v>1651</v>
      </c>
      <c r="G1200" s="79" t="s">
        <v>1653</v>
      </c>
      <c r="H1200" s="79" t="s">
        <v>2834</v>
      </c>
      <c r="I1200" s="79" t="s">
        <v>2852</v>
      </c>
      <c r="J1200" s="79" t="s">
        <v>1654</v>
      </c>
      <c r="K1200" s="79" t="s">
        <v>707</v>
      </c>
      <c r="L1200" s="79" t="s">
        <v>1655</v>
      </c>
    </row>
    <row r="1201" spans="1:12" ht="12.75" customHeight="1" x14ac:dyDescent="0.2">
      <c r="A1201" s="91">
        <f t="shared" si="29"/>
        <v>1</v>
      </c>
      <c r="B1201" s="79" t="s">
        <v>2339</v>
      </c>
      <c r="C1201" s="79" t="s">
        <v>2339</v>
      </c>
      <c r="D1201" s="79" t="s">
        <v>2338</v>
      </c>
      <c r="E1201" s="55" t="s">
        <v>3400</v>
      </c>
      <c r="F1201" s="79" t="s">
        <v>2338</v>
      </c>
      <c r="G1201" s="79" t="s">
        <v>2340</v>
      </c>
      <c r="H1201" s="79" t="s">
        <v>2782</v>
      </c>
      <c r="I1201" s="79" t="s">
        <v>2825</v>
      </c>
      <c r="J1201" s="79" t="s">
        <v>920</v>
      </c>
      <c r="K1201" s="79" t="s">
        <v>707</v>
      </c>
      <c r="L1201" s="79" t="s">
        <v>2341</v>
      </c>
    </row>
    <row r="1202" spans="1:12" ht="12.75" customHeight="1" x14ac:dyDescent="0.2">
      <c r="A1202" s="91">
        <f t="shared" si="29"/>
        <v>1</v>
      </c>
      <c r="B1202" s="79" t="s">
        <v>2343</v>
      </c>
      <c r="C1202" s="79" t="s">
        <v>2343</v>
      </c>
      <c r="D1202" s="79" t="s">
        <v>2342</v>
      </c>
      <c r="E1202" s="55" t="s">
        <v>3380</v>
      </c>
      <c r="F1202" s="79" t="s">
        <v>2342</v>
      </c>
      <c r="G1202" s="79" t="s">
        <v>1133</v>
      </c>
      <c r="H1202" s="79" t="s">
        <v>2782</v>
      </c>
      <c r="I1202" s="79" t="s">
        <v>2839</v>
      </c>
      <c r="J1202" s="79" t="s">
        <v>1134</v>
      </c>
      <c r="K1202" s="79" t="s">
        <v>707</v>
      </c>
      <c r="L1202" s="79" t="s">
        <v>1135</v>
      </c>
    </row>
    <row r="1203" spans="1:12" ht="12.75" customHeight="1" x14ac:dyDescent="0.2">
      <c r="A1203" s="91">
        <f t="shared" si="29"/>
        <v>1</v>
      </c>
      <c r="B1203" s="79" t="s">
        <v>2280</v>
      </c>
      <c r="C1203" s="79" t="s">
        <v>2280</v>
      </c>
      <c r="D1203" s="79" t="s">
        <v>2279</v>
      </c>
      <c r="E1203" s="55" t="s">
        <v>3401</v>
      </c>
      <c r="F1203" s="79" t="s">
        <v>2279</v>
      </c>
      <c r="G1203" s="79" t="s">
        <v>2281</v>
      </c>
      <c r="H1203" s="79" t="s">
        <v>2782</v>
      </c>
      <c r="I1203" s="79" t="s">
        <v>2825</v>
      </c>
      <c r="J1203" s="79" t="s">
        <v>2282</v>
      </c>
      <c r="K1203" s="79" t="s">
        <v>707</v>
      </c>
      <c r="L1203" s="79" t="s">
        <v>2283</v>
      </c>
    </row>
    <row r="1204" spans="1:12" ht="12.75" customHeight="1" x14ac:dyDescent="0.2">
      <c r="A1204" s="91">
        <f t="shared" si="29"/>
        <v>1</v>
      </c>
      <c r="B1204" s="79" t="s">
        <v>3122</v>
      </c>
      <c r="C1204" s="79" t="s">
        <v>3122</v>
      </c>
      <c r="D1204" s="79" t="s">
        <v>3123</v>
      </c>
      <c r="E1204" s="55" t="s">
        <v>3402</v>
      </c>
      <c r="F1204" s="79" t="s">
        <v>3123</v>
      </c>
      <c r="G1204" s="79" t="s">
        <v>3124</v>
      </c>
      <c r="H1204" s="79" t="s">
        <v>2791</v>
      </c>
      <c r="I1204" s="79" t="s">
        <v>2764</v>
      </c>
      <c r="J1204" s="79" t="s">
        <v>2421</v>
      </c>
      <c r="K1204" s="79" t="s">
        <v>898</v>
      </c>
      <c r="L1204" s="79" t="s">
        <v>2422</v>
      </c>
    </row>
    <row r="1205" spans="1:12" ht="12.75" customHeight="1" x14ac:dyDescent="0.2">
      <c r="A1205" s="91">
        <f t="shared" si="29"/>
        <v>1</v>
      </c>
      <c r="B1205" s="79" t="s">
        <v>2295</v>
      </c>
      <c r="C1205" s="79" t="s">
        <v>2295</v>
      </c>
      <c r="D1205" s="79" t="s">
        <v>2294</v>
      </c>
      <c r="E1205" s="55" t="s">
        <v>3207</v>
      </c>
      <c r="F1205" s="79" t="s">
        <v>2294</v>
      </c>
      <c r="G1205" s="79" t="s">
        <v>2296</v>
      </c>
      <c r="H1205" s="79" t="s">
        <v>2782</v>
      </c>
      <c r="I1205" s="79" t="s">
        <v>2784</v>
      </c>
      <c r="J1205" s="79" t="s">
        <v>1979</v>
      </c>
      <c r="K1205" s="79" t="s">
        <v>707</v>
      </c>
      <c r="L1205" s="79" t="s">
        <v>1980</v>
      </c>
    </row>
    <row r="1206" spans="1:12" ht="12.75" customHeight="1" x14ac:dyDescent="0.2">
      <c r="A1206" s="91">
        <f t="shared" si="29"/>
        <v>1</v>
      </c>
      <c r="B1206" s="79" t="s">
        <v>2295</v>
      </c>
      <c r="C1206" s="79" t="s">
        <v>2295</v>
      </c>
      <c r="D1206" s="79" t="s">
        <v>2736</v>
      </c>
      <c r="E1206" s="55" t="s">
        <v>3403</v>
      </c>
      <c r="F1206" s="79" t="s">
        <v>2736</v>
      </c>
      <c r="G1206" s="79" t="s">
        <v>2296</v>
      </c>
      <c r="H1206" s="79" t="s">
        <v>2782</v>
      </c>
      <c r="I1206" s="79" t="s">
        <v>2784</v>
      </c>
      <c r="J1206" s="79" t="s">
        <v>1979</v>
      </c>
      <c r="K1206" s="79" t="s">
        <v>707</v>
      </c>
      <c r="L1206" s="79" t="s">
        <v>2341</v>
      </c>
    </row>
    <row r="1207" spans="1:12" ht="12.75" customHeight="1" x14ac:dyDescent="0.2">
      <c r="A1207" s="91">
        <f t="shared" si="29"/>
        <v>1</v>
      </c>
      <c r="B1207" s="79" t="s">
        <v>2298</v>
      </c>
      <c r="C1207" s="79" t="s">
        <v>2298</v>
      </c>
      <c r="D1207" s="79" t="s">
        <v>2297</v>
      </c>
      <c r="E1207" s="55" t="s">
        <v>3404</v>
      </c>
      <c r="F1207" s="79" t="s">
        <v>2297</v>
      </c>
      <c r="G1207" s="79" t="s">
        <v>1992</v>
      </c>
      <c r="H1207" s="79" t="s">
        <v>2782</v>
      </c>
      <c r="I1207" s="79" t="s">
        <v>2784</v>
      </c>
      <c r="J1207" s="79" t="s">
        <v>1979</v>
      </c>
      <c r="K1207" s="79" t="s">
        <v>707</v>
      </c>
      <c r="L1207" s="79" t="s">
        <v>813</v>
      </c>
    </row>
    <row r="1208" spans="1:12" ht="12.75" customHeight="1" x14ac:dyDescent="0.2">
      <c r="A1208" s="91">
        <f t="shared" si="29"/>
        <v>1</v>
      </c>
      <c r="B1208" s="79" t="s">
        <v>1470</v>
      </c>
      <c r="C1208" s="79" t="s">
        <v>1470</v>
      </c>
      <c r="D1208" s="79" t="s">
        <v>1469</v>
      </c>
      <c r="E1208" s="55" t="s">
        <v>3188</v>
      </c>
      <c r="F1208" s="79" t="s">
        <v>1469</v>
      </c>
      <c r="G1208" s="79" t="s">
        <v>839</v>
      </c>
      <c r="H1208" s="79" t="s">
        <v>2767</v>
      </c>
      <c r="I1208" s="79" t="s">
        <v>2768</v>
      </c>
      <c r="J1208" s="79" t="s">
        <v>835</v>
      </c>
      <c r="K1208" s="79" t="s">
        <v>707</v>
      </c>
      <c r="L1208" s="79" t="s">
        <v>836</v>
      </c>
    </row>
    <row r="1209" spans="1:12" ht="12.75" customHeight="1" x14ac:dyDescent="0.2">
      <c r="A1209" s="91">
        <f t="shared" si="29"/>
        <v>1</v>
      </c>
      <c r="B1209" s="79" t="s">
        <v>1468</v>
      </c>
      <c r="C1209" s="79" t="s">
        <v>1468</v>
      </c>
      <c r="D1209" s="79" t="s">
        <v>1467</v>
      </c>
      <c r="E1209" s="55" t="s">
        <v>3187</v>
      </c>
      <c r="F1209" s="79" t="s">
        <v>1467</v>
      </c>
      <c r="G1209" s="79" t="s">
        <v>954</v>
      </c>
      <c r="H1209" s="79" t="s">
        <v>2759</v>
      </c>
      <c r="I1209" s="79" t="s">
        <v>2760</v>
      </c>
      <c r="J1209" s="79" t="s">
        <v>843</v>
      </c>
      <c r="K1209" s="79" t="s">
        <v>707</v>
      </c>
      <c r="L1209" s="79" t="s">
        <v>955</v>
      </c>
    </row>
    <row r="1210" spans="1:12" ht="12.75" customHeight="1" x14ac:dyDescent="0.2">
      <c r="A1210" s="91">
        <f t="shared" si="29"/>
        <v>1</v>
      </c>
      <c r="B1210" s="79" t="s">
        <v>1472</v>
      </c>
      <c r="C1210" s="79" t="s">
        <v>1472</v>
      </c>
      <c r="D1210" s="79" t="s">
        <v>1471</v>
      </c>
      <c r="E1210" s="55" t="s">
        <v>3190</v>
      </c>
      <c r="F1210" s="79" t="s">
        <v>1471</v>
      </c>
      <c r="G1210" s="79" t="s">
        <v>842</v>
      </c>
      <c r="H1210" s="79" t="s">
        <v>2759</v>
      </c>
      <c r="I1210" s="79" t="s">
        <v>2760</v>
      </c>
      <c r="J1210" s="79" t="s">
        <v>843</v>
      </c>
      <c r="K1210" s="79" t="s">
        <v>707</v>
      </c>
      <c r="L1210" s="79" t="s">
        <v>844</v>
      </c>
    </row>
    <row r="1211" spans="1:12" ht="12.75" customHeight="1" x14ac:dyDescent="0.2">
      <c r="A1211" s="91">
        <f t="shared" si="29"/>
        <v>1</v>
      </c>
      <c r="B1211" s="79" t="s">
        <v>1791</v>
      </c>
      <c r="C1211" s="79" t="s">
        <v>1791</v>
      </c>
      <c r="D1211" s="79" t="s">
        <v>1790</v>
      </c>
      <c r="E1211" s="55" t="s">
        <v>3405</v>
      </c>
      <c r="F1211" s="79" t="s">
        <v>1790</v>
      </c>
      <c r="G1211" s="79" t="s">
        <v>1792</v>
      </c>
      <c r="H1211" s="79" t="s">
        <v>2775</v>
      </c>
      <c r="I1211" s="79" t="s">
        <v>2833</v>
      </c>
      <c r="J1211" s="79" t="s">
        <v>1793</v>
      </c>
      <c r="K1211" s="79" t="s">
        <v>707</v>
      </c>
      <c r="L1211" s="79" t="s">
        <v>1716</v>
      </c>
    </row>
    <row r="1212" spans="1:12" ht="12.75" customHeight="1" x14ac:dyDescent="0.2">
      <c r="A1212" s="91">
        <f t="shared" si="29"/>
        <v>1</v>
      </c>
      <c r="B1212" s="79" t="s">
        <v>1523</v>
      </c>
      <c r="C1212" s="79" t="s">
        <v>1523</v>
      </c>
      <c r="D1212" s="79" t="s">
        <v>1522</v>
      </c>
      <c r="E1212" s="55" t="s">
        <v>3406</v>
      </c>
      <c r="F1212" s="79" t="s">
        <v>1522</v>
      </c>
      <c r="G1212" s="79" t="s">
        <v>1524</v>
      </c>
      <c r="H1212" s="79" t="s">
        <v>2786</v>
      </c>
      <c r="I1212" s="79" t="s">
        <v>2787</v>
      </c>
      <c r="J1212" s="79" t="s">
        <v>1525</v>
      </c>
      <c r="K1212" s="79" t="s">
        <v>707</v>
      </c>
      <c r="L1212" s="79" t="s">
        <v>1526</v>
      </c>
    </row>
    <row r="1213" spans="1:12" ht="12.75" customHeight="1" x14ac:dyDescent="0.2">
      <c r="A1213" s="91">
        <f t="shared" si="29"/>
        <v>1</v>
      </c>
      <c r="B1213" s="79" t="s">
        <v>1309</v>
      </c>
      <c r="C1213" s="79" t="s">
        <v>1309</v>
      </c>
      <c r="D1213" s="79" t="s">
        <v>1308</v>
      </c>
      <c r="E1213" s="55" t="s">
        <v>3407</v>
      </c>
      <c r="F1213" s="79" t="s">
        <v>1308</v>
      </c>
      <c r="G1213" s="79" t="s">
        <v>1310</v>
      </c>
      <c r="H1213" s="79" t="s">
        <v>2762</v>
      </c>
      <c r="I1213" s="79" t="s">
        <v>2774</v>
      </c>
      <c r="J1213" s="79" t="s">
        <v>1311</v>
      </c>
      <c r="K1213" s="79" t="s">
        <v>707</v>
      </c>
      <c r="L1213" s="79" t="s">
        <v>1312</v>
      </c>
    </row>
    <row r="1214" spans="1:12" ht="12.75" customHeight="1" x14ac:dyDescent="0.2">
      <c r="A1214" s="91">
        <f t="shared" si="29"/>
        <v>1</v>
      </c>
      <c r="B1214" s="79" t="s">
        <v>2300</v>
      </c>
      <c r="C1214" s="79" t="s">
        <v>2300</v>
      </c>
      <c r="D1214" s="79" t="s">
        <v>2299</v>
      </c>
      <c r="E1214" s="55" t="s">
        <v>3331</v>
      </c>
      <c r="F1214" s="79" t="s">
        <v>2299</v>
      </c>
      <c r="G1214" s="79" t="s">
        <v>1543</v>
      </c>
      <c r="H1214" s="79" t="s">
        <v>2786</v>
      </c>
      <c r="I1214" s="79" t="s">
        <v>2795</v>
      </c>
      <c r="J1214" s="79" t="s">
        <v>848</v>
      </c>
      <c r="K1214" s="79" t="s">
        <v>707</v>
      </c>
      <c r="L1214" s="79" t="s">
        <v>849</v>
      </c>
    </row>
    <row r="1215" spans="1:12" ht="12.75" customHeight="1" x14ac:dyDescent="0.2">
      <c r="A1215" s="91">
        <f t="shared" ref="A1215:A1278" si="30">IF(B1215=B516,1,"CHECK")</f>
        <v>1</v>
      </c>
      <c r="B1215" s="79" t="s">
        <v>1642</v>
      </c>
      <c r="C1215" s="79" t="s">
        <v>1642</v>
      </c>
      <c r="D1215" s="79" t="s">
        <v>1641</v>
      </c>
      <c r="E1215" s="55" t="s">
        <v>3408</v>
      </c>
      <c r="F1215" s="79" t="s">
        <v>1641</v>
      </c>
      <c r="G1215" s="79" t="s">
        <v>1643</v>
      </c>
      <c r="H1215" s="79" t="s">
        <v>2834</v>
      </c>
      <c r="I1215" s="79" t="s">
        <v>2852</v>
      </c>
      <c r="J1215" s="79" t="s">
        <v>1644</v>
      </c>
      <c r="K1215" s="79" t="s">
        <v>707</v>
      </c>
      <c r="L1215" s="79" t="s">
        <v>1645</v>
      </c>
    </row>
    <row r="1216" spans="1:12" ht="12.75" customHeight="1" x14ac:dyDescent="0.2">
      <c r="A1216" s="91">
        <f t="shared" si="30"/>
        <v>1</v>
      </c>
      <c r="B1216" s="79" t="s">
        <v>2462</v>
      </c>
      <c r="C1216" s="79" t="s">
        <v>2462</v>
      </c>
      <c r="D1216" s="79" t="s">
        <v>2461</v>
      </c>
      <c r="E1216" s="55" t="s">
        <v>3409</v>
      </c>
      <c r="F1216" s="79" t="s">
        <v>2461</v>
      </c>
      <c r="G1216" s="79" t="s">
        <v>2463</v>
      </c>
      <c r="H1216" s="79" t="s">
        <v>2791</v>
      </c>
      <c r="I1216" s="79" t="s">
        <v>2809</v>
      </c>
      <c r="J1216" s="79" t="s">
        <v>2431</v>
      </c>
      <c r="K1216" s="79" t="s">
        <v>707</v>
      </c>
      <c r="L1216" s="79" t="s">
        <v>2432</v>
      </c>
    </row>
    <row r="1217" spans="1:12" ht="12.75" customHeight="1" x14ac:dyDescent="0.2">
      <c r="A1217" s="91">
        <f t="shared" si="30"/>
        <v>1</v>
      </c>
      <c r="B1217" s="79" t="s">
        <v>2379</v>
      </c>
      <c r="C1217" s="79" t="s">
        <v>2379</v>
      </c>
      <c r="D1217" s="79" t="s">
        <v>2378</v>
      </c>
      <c r="E1217" s="55" t="s">
        <v>3360</v>
      </c>
      <c r="F1217" s="79" t="s">
        <v>2378</v>
      </c>
      <c r="G1217" s="79" t="s">
        <v>2380</v>
      </c>
      <c r="H1217" s="79" t="s">
        <v>2791</v>
      </c>
      <c r="I1217" s="79" t="s">
        <v>2812</v>
      </c>
      <c r="J1217" s="79" t="s">
        <v>738</v>
      </c>
      <c r="K1217" s="79" t="s">
        <v>707</v>
      </c>
      <c r="L1217" s="79" t="s">
        <v>739</v>
      </c>
    </row>
    <row r="1218" spans="1:12" ht="12.75" customHeight="1" x14ac:dyDescent="0.2">
      <c r="A1218" s="91">
        <f t="shared" si="30"/>
        <v>1</v>
      </c>
      <c r="B1218" s="79" t="s">
        <v>2443</v>
      </c>
      <c r="C1218" s="79" t="s">
        <v>2443</v>
      </c>
      <c r="D1218" s="79" t="s">
        <v>2442</v>
      </c>
      <c r="E1218" s="55" t="s">
        <v>3359</v>
      </c>
      <c r="F1218" s="79" t="s">
        <v>2442</v>
      </c>
      <c r="G1218" s="79" t="s">
        <v>3138</v>
      </c>
      <c r="H1218" s="79" t="s">
        <v>2791</v>
      </c>
      <c r="I1218" s="79" t="s">
        <v>2824</v>
      </c>
      <c r="J1218" s="79" t="s">
        <v>753</v>
      </c>
      <c r="K1218" s="79" t="s">
        <v>707</v>
      </c>
      <c r="L1218" s="79" t="s">
        <v>754</v>
      </c>
    </row>
    <row r="1219" spans="1:12" ht="12.75" customHeight="1" x14ac:dyDescent="0.2">
      <c r="A1219" s="91">
        <f t="shared" si="30"/>
        <v>1</v>
      </c>
      <c r="B1219" s="79" t="s">
        <v>2429</v>
      </c>
      <c r="C1219" s="79" t="s">
        <v>2429</v>
      </c>
      <c r="D1219" s="79" t="s">
        <v>2428</v>
      </c>
      <c r="E1219" s="55" t="s">
        <v>3409</v>
      </c>
      <c r="F1219" s="79" t="s">
        <v>2428</v>
      </c>
      <c r="G1219" s="79" t="s">
        <v>2430</v>
      </c>
      <c r="H1219" s="79" t="s">
        <v>2791</v>
      </c>
      <c r="I1219" s="79" t="s">
        <v>2809</v>
      </c>
      <c r="J1219" s="79" t="s">
        <v>2431</v>
      </c>
      <c r="K1219" s="79" t="s">
        <v>707</v>
      </c>
      <c r="L1219" s="79" t="s">
        <v>2432</v>
      </c>
    </row>
    <row r="1220" spans="1:12" ht="12.75" customHeight="1" x14ac:dyDescent="0.2">
      <c r="A1220" s="91">
        <f t="shared" si="30"/>
        <v>1</v>
      </c>
      <c r="B1220" s="79" t="s">
        <v>2382</v>
      </c>
      <c r="C1220" s="79" t="s">
        <v>2382</v>
      </c>
      <c r="D1220" s="79" t="s">
        <v>2381</v>
      </c>
      <c r="E1220" s="55" t="s">
        <v>3350</v>
      </c>
      <c r="F1220" s="79" t="s">
        <v>2381</v>
      </c>
      <c r="G1220" s="79" t="s">
        <v>1995</v>
      </c>
      <c r="H1220" s="79" t="s">
        <v>2791</v>
      </c>
      <c r="I1220" s="79" t="s">
        <v>2809</v>
      </c>
      <c r="J1220" s="79" t="s">
        <v>1996</v>
      </c>
      <c r="K1220" s="79" t="s">
        <v>707</v>
      </c>
      <c r="L1220" s="79" t="s">
        <v>1997</v>
      </c>
    </row>
    <row r="1221" spans="1:12" ht="12.75" customHeight="1" x14ac:dyDescent="0.2">
      <c r="A1221" s="91">
        <f t="shared" si="30"/>
        <v>1</v>
      </c>
      <c r="B1221" s="79" t="s">
        <v>2382</v>
      </c>
      <c r="C1221" s="79" t="s">
        <v>2382</v>
      </c>
      <c r="D1221" s="79" t="s">
        <v>2381</v>
      </c>
      <c r="E1221" s="55" t="s">
        <v>3350</v>
      </c>
      <c r="F1221" s="79" t="s">
        <v>2381</v>
      </c>
      <c r="G1221" s="79" t="s">
        <v>1995</v>
      </c>
      <c r="H1221" s="79" t="s">
        <v>2791</v>
      </c>
      <c r="I1221" s="79" t="s">
        <v>2809</v>
      </c>
      <c r="J1221" s="79" t="s">
        <v>1996</v>
      </c>
      <c r="K1221" s="79" t="s">
        <v>707</v>
      </c>
      <c r="L1221" s="79" t="s">
        <v>1997</v>
      </c>
    </row>
    <row r="1222" spans="1:12" ht="12.75" customHeight="1" x14ac:dyDescent="0.2">
      <c r="A1222" s="91">
        <f t="shared" si="30"/>
        <v>1</v>
      </c>
      <c r="B1222" s="79" t="s">
        <v>1448</v>
      </c>
      <c r="C1222" s="79" t="s">
        <v>1448</v>
      </c>
      <c r="D1222" s="79" t="s">
        <v>1447</v>
      </c>
      <c r="E1222" s="55" t="s">
        <v>3410</v>
      </c>
      <c r="F1222" s="79" t="s">
        <v>1447</v>
      </c>
      <c r="G1222" s="79" t="s">
        <v>1449</v>
      </c>
      <c r="H1222" s="79" t="s">
        <v>2762</v>
      </c>
      <c r="I1222" s="79" t="s">
        <v>2790</v>
      </c>
      <c r="J1222" s="79" t="s">
        <v>1450</v>
      </c>
      <c r="K1222" s="79" t="s">
        <v>707</v>
      </c>
      <c r="L1222" s="79" t="s">
        <v>1358</v>
      </c>
    </row>
    <row r="1223" spans="1:12" ht="12.75" customHeight="1" x14ac:dyDescent="0.2">
      <c r="A1223" s="91">
        <f t="shared" si="30"/>
        <v>1</v>
      </c>
      <c r="B1223" s="79" t="s">
        <v>1360</v>
      </c>
      <c r="C1223" s="79" t="s">
        <v>1360</v>
      </c>
      <c r="D1223" s="79" t="s">
        <v>1359</v>
      </c>
      <c r="E1223" s="55" t="s">
        <v>3411</v>
      </c>
      <c r="F1223" s="79" t="s">
        <v>1359</v>
      </c>
      <c r="G1223" s="79" t="s">
        <v>1361</v>
      </c>
      <c r="H1223" s="79" t="s">
        <v>2762</v>
      </c>
      <c r="I1223" s="79" t="s">
        <v>2765</v>
      </c>
      <c r="J1223" s="79" t="s">
        <v>1362</v>
      </c>
      <c r="K1223" s="79" t="s">
        <v>898</v>
      </c>
      <c r="L1223" s="79" t="s">
        <v>1363</v>
      </c>
    </row>
    <row r="1224" spans="1:12" ht="12.75" customHeight="1" x14ac:dyDescent="0.2">
      <c r="A1224" s="91">
        <f t="shared" si="30"/>
        <v>1</v>
      </c>
      <c r="B1224" s="79" t="s">
        <v>1562</v>
      </c>
      <c r="C1224" s="79" t="s">
        <v>1562</v>
      </c>
      <c r="D1224" s="79" t="s">
        <v>1561</v>
      </c>
      <c r="E1224" s="55" t="s">
        <v>3412</v>
      </c>
      <c r="F1224" s="79" t="s">
        <v>1561</v>
      </c>
      <c r="G1224" s="79" t="s">
        <v>1563</v>
      </c>
      <c r="H1224" s="79" t="s">
        <v>2786</v>
      </c>
      <c r="I1224" s="79" t="s">
        <v>2848</v>
      </c>
      <c r="J1224" s="79" t="s">
        <v>1564</v>
      </c>
      <c r="K1224" s="79" t="s">
        <v>707</v>
      </c>
      <c r="L1224" s="79" t="s">
        <v>1565</v>
      </c>
    </row>
    <row r="1225" spans="1:12" ht="12.75" customHeight="1" x14ac:dyDescent="0.2">
      <c r="A1225" s="91">
        <f t="shared" si="30"/>
        <v>1</v>
      </c>
      <c r="B1225" s="79" t="s">
        <v>1562</v>
      </c>
      <c r="C1225" s="79" t="s">
        <v>1562</v>
      </c>
      <c r="D1225" s="79" t="s">
        <v>2681</v>
      </c>
      <c r="E1225" s="55" t="s">
        <v>3412</v>
      </c>
      <c r="F1225" s="79" t="s">
        <v>2681</v>
      </c>
      <c r="G1225" s="79" t="s">
        <v>1563</v>
      </c>
      <c r="H1225" s="79" t="s">
        <v>2786</v>
      </c>
      <c r="I1225" s="79" t="s">
        <v>2848</v>
      </c>
      <c r="J1225" s="79" t="s">
        <v>1564</v>
      </c>
      <c r="K1225" s="79" t="s">
        <v>707</v>
      </c>
      <c r="L1225" s="79" t="s">
        <v>1565</v>
      </c>
    </row>
    <row r="1226" spans="1:12" ht="12.75" customHeight="1" x14ac:dyDescent="0.2">
      <c r="A1226" s="91">
        <f t="shared" si="30"/>
        <v>1</v>
      </c>
      <c r="B1226" s="79" t="s">
        <v>1562</v>
      </c>
      <c r="C1226" s="79" t="s">
        <v>1562</v>
      </c>
      <c r="D1226" s="79" t="s">
        <v>2682</v>
      </c>
      <c r="E1226" s="55" t="s">
        <v>3412</v>
      </c>
      <c r="F1226" s="79" t="s">
        <v>2682</v>
      </c>
      <c r="G1226" s="79" t="s">
        <v>1563</v>
      </c>
      <c r="H1226" s="79" t="s">
        <v>2786</v>
      </c>
      <c r="I1226" s="79" t="s">
        <v>2848</v>
      </c>
      <c r="J1226" s="79" t="s">
        <v>1564</v>
      </c>
      <c r="K1226" s="79" t="s">
        <v>707</v>
      </c>
      <c r="L1226" s="79" t="s">
        <v>1565</v>
      </c>
    </row>
    <row r="1227" spans="1:12" ht="12.75" customHeight="1" x14ac:dyDescent="0.2">
      <c r="A1227" s="91">
        <f t="shared" si="30"/>
        <v>1</v>
      </c>
      <c r="B1227" s="79" t="s">
        <v>1090</v>
      </c>
      <c r="C1227" s="79" t="s">
        <v>1090</v>
      </c>
      <c r="D1227" s="79" t="s">
        <v>1089</v>
      </c>
      <c r="E1227" s="55" t="s">
        <v>3220</v>
      </c>
      <c r="F1227" s="79" t="s">
        <v>1089</v>
      </c>
      <c r="G1227" s="79" t="s">
        <v>964</v>
      </c>
      <c r="H1227" s="79" t="s">
        <v>2759</v>
      </c>
      <c r="I1227" s="79" t="s">
        <v>2761</v>
      </c>
      <c r="J1227" s="79" t="s">
        <v>965</v>
      </c>
      <c r="K1227" s="79" t="s">
        <v>707</v>
      </c>
      <c r="L1227" s="79" t="s">
        <v>966</v>
      </c>
    </row>
    <row r="1228" spans="1:12" ht="12.75" customHeight="1" x14ac:dyDescent="0.2">
      <c r="A1228" s="91">
        <f t="shared" si="30"/>
        <v>1</v>
      </c>
      <c r="B1228" s="79" t="s">
        <v>1094</v>
      </c>
      <c r="C1228" s="79" t="s">
        <v>1094</v>
      </c>
      <c r="D1228" s="79" t="s">
        <v>1093</v>
      </c>
      <c r="E1228" s="55" t="s">
        <v>3285</v>
      </c>
      <c r="F1228" s="79" t="s">
        <v>1093</v>
      </c>
      <c r="G1228" s="79" t="s">
        <v>973</v>
      </c>
      <c r="H1228" s="79" t="s">
        <v>2767</v>
      </c>
      <c r="I1228" s="79" t="s">
        <v>2816</v>
      </c>
      <c r="J1228" s="79" t="s">
        <v>974</v>
      </c>
      <c r="K1228" s="79" t="s">
        <v>707</v>
      </c>
      <c r="L1228" s="79" t="s">
        <v>975</v>
      </c>
    </row>
    <row r="1229" spans="1:12" ht="12.75" customHeight="1" x14ac:dyDescent="0.2">
      <c r="A1229" s="91">
        <f t="shared" si="30"/>
        <v>1</v>
      </c>
      <c r="B1229" s="79" t="s">
        <v>1092</v>
      </c>
      <c r="C1229" s="79" t="s">
        <v>1092</v>
      </c>
      <c r="D1229" s="79" t="s">
        <v>1091</v>
      </c>
      <c r="E1229" s="55" t="s">
        <v>3228</v>
      </c>
      <c r="F1229" s="79" t="s">
        <v>1091</v>
      </c>
      <c r="G1229" s="79" t="s">
        <v>969</v>
      </c>
      <c r="H1229" s="79" t="s">
        <v>2759</v>
      </c>
      <c r="I1229" s="79" t="s">
        <v>2760</v>
      </c>
      <c r="J1229" s="79" t="s">
        <v>843</v>
      </c>
      <c r="K1229" s="79" t="s">
        <v>707</v>
      </c>
      <c r="L1229" s="79" t="s">
        <v>970</v>
      </c>
    </row>
    <row r="1230" spans="1:12" ht="12.75" customHeight="1" x14ac:dyDescent="0.2">
      <c r="A1230" s="91">
        <f t="shared" si="30"/>
        <v>1</v>
      </c>
      <c r="B1230" s="79" t="s">
        <v>1088</v>
      </c>
      <c r="C1230" s="79" t="s">
        <v>1088</v>
      </c>
      <c r="D1230" s="79" t="s">
        <v>1087</v>
      </c>
      <c r="E1230" s="55" t="s">
        <v>3187</v>
      </c>
      <c r="F1230" s="79" t="s">
        <v>1087</v>
      </c>
      <c r="G1230" s="79" t="s">
        <v>954</v>
      </c>
      <c r="H1230" s="79" t="s">
        <v>2759</v>
      </c>
      <c r="I1230" s="79" t="s">
        <v>2760</v>
      </c>
      <c r="J1230" s="79" t="s">
        <v>843</v>
      </c>
      <c r="K1230" s="79" t="s">
        <v>707</v>
      </c>
      <c r="L1230" s="79" t="s">
        <v>955</v>
      </c>
    </row>
    <row r="1231" spans="1:12" ht="12.75" customHeight="1" x14ac:dyDescent="0.2">
      <c r="A1231" s="91">
        <f t="shared" si="30"/>
        <v>1</v>
      </c>
      <c r="B1231" s="79" t="s">
        <v>1437</v>
      </c>
      <c r="C1231" s="79" t="s">
        <v>1437</v>
      </c>
      <c r="D1231" s="79" t="s">
        <v>1436</v>
      </c>
      <c r="E1231" s="55" t="s">
        <v>3413</v>
      </c>
      <c r="F1231" s="79" t="s">
        <v>1436</v>
      </c>
      <c r="G1231" s="79" t="s">
        <v>1438</v>
      </c>
      <c r="H1231" s="79" t="s">
        <v>2762</v>
      </c>
      <c r="I1231" s="79" t="s">
        <v>2774</v>
      </c>
      <c r="J1231" s="79" t="s">
        <v>1439</v>
      </c>
      <c r="K1231" s="79" t="s">
        <v>707</v>
      </c>
      <c r="L1231" s="79" t="s">
        <v>1440</v>
      </c>
    </row>
    <row r="1232" spans="1:12" ht="12.75" customHeight="1" x14ac:dyDescent="0.2">
      <c r="A1232" s="91">
        <f t="shared" si="30"/>
        <v>1</v>
      </c>
      <c r="B1232" s="79" t="s">
        <v>2446</v>
      </c>
      <c r="C1232" s="79" t="s">
        <v>2446</v>
      </c>
      <c r="D1232" s="79" t="s">
        <v>2445</v>
      </c>
      <c r="E1232" s="55" t="s">
        <v>3414</v>
      </c>
      <c r="F1232" s="79" t="s">
        <v>2445</v>
      </c>
      <c r="G1232" s="79" t="s">
        <v>2447</v>
      </c>
      <c r="H1232" s="79" t="s">
        <v>2791</v>
      </c>
      <c r="I1232" s="79" t="s">
        <v>2812</v>
      </c>
      <c r="J1232" s="79" t="s">
        <v>2448</v>
      </c>
      <c r="K1232" s="79" t="s">
        <v>707</v>
      </c>
      <c r="L1232" s="79" t="s">
        <v>2449</v>
      </c>
    </row>
    <row r="1233" spans="1:12" ht="12.75" customHeight="1" x14ac:dyDescent="0.2">
      <c r="A1233" s="91">
        <f t="shared" si="30"/>
        <v>1</v>
      </c>
      <c r="B1233" s="79" t="s">
        <v>1413</v>
      </c>
      <c r="C1233" s="79" t="s">
        <v>1413</v>
      </c>
      <c r="D1233" s="79" t="s">
        <v>1412</v>
      </c>
      <c r="E1233" s="55" t="s">
        <v>3415</v>
      </c>
      <c r="F1233" s="79" t="s">
        <v>1412</v>
      </c>
      <c r="G1233" s="79" t="s">
        <v>1414</v>
      </c>
      <c r="H1233" s="79" t="s">
        <v>2762</v>
      </c>
      <c r="I1233" s="79" t="s">
        <v>2853</v>
      </c>
      <c r="J1233" s="79" t="s">
        <v>1415</v>
      </c>
      <c r="K1233" s="79" t="s">
        <v>707</v>
      </c>
      <c r="L1233" s="79" t="s">
        <v>1416</v>
      </c>
    </row>
    <row r="1234" spans="1:12" ht="12.75" customHeight="1" x14ac:dyDescent="0.2">
      <c r="A1234" s="91">
        <f t="shared" si="30"/>
        <v>1</v>
      </c>
      <c r="B1234" s="79" t="s">
        <v>2099</v>
      </c>
      <c r="C1234" s="79" t="s">
        <v>2099</v>
      </c>
      <c r="D1234" s="79" t="s">
        <v>2098</v>
      </c>
      <c r="E1234" s="55" t="s">
        <v>3303</v>
      </c>
      <c r="F1234" s="79" t="s">
        <v>2098</v>
      </c>
      <c r="G1234" s="79" t="s">
        <v>2100</v>
      </c>
      <c r="H1234" s="79" t="s">
        <v>2780</v>
      </c>
      <c r="I1234" s="79" t="s">
        <v>2818</v>
      </c>
      <c r="J1234" s="79" t="s">
        <v>2101</v>
      </c>
      <c r="K1234" s="79" t="s">
        <v>707</v>
      </c>
      <c r="L1234" s="79" t="s">
        <v>2102</v>
      </c>
    </row>
    <row r="1235" spans="1:12" ht="12.75" customHeight="1" x14ac:dyDescent="0.2">
      <c r="A1235" s="91">
        <f t="shared" si="30"/>
        <v>1</v>
      </c>
      <c r="B1235" s="79" t="s">
        <v>1967</v>
      </c>
      <c r="C1235" s="79" t="s">
        <v>1967</v>
      </c>
      <c r="D1235" s="79" t="s">
        <v>1966</v>
      </c>
      <c r="E1235" s="55" t="s">
        <v>3295</v>
      </c>
      <c r="F1235" s="79" t="s">
        <v>1966</v>
      </c>
      <c r="G1235" s="79" t="s">
        <v>1968</v>
      </c>
      <c r="H1235" s="79" t="s">
        <v>2770</v>
      </c>
      <c r="I1235" s="79" t="s">
        <v>2789</v>
      </c>
      <c r="J1235" s="79" t="s">
        <v>1969</v>
      </c>
      <c r="K1235" s="79" t="s">
        <v>707</v>
      </c>
      <c r="L1235" s="79" t="s">
        <v>1970</v>
      </c>
    </row>
    <row r="1236" spans="1:12" ht="12.75" customHeight="1" x14ac:dyDescent="0.2">
      <c r="A1236" s="91">
        <f t="shared" si="30"/>
        <v>1</v>
      </c>
      <c r="B1236" s="79" t="s">
        <v>1116</v>
      </c>
      <c r="C1236" s="79" t="s">
        <v>1116</v>
      </c>
      <c r="D1236" s="79" t="s">
        <v>1115</v>
      </c>
      <c r="E1236" s="55" t="s">
        <v>3416</v>
      </c>
      <c r="F1236" s="79" t="s">
        <v>1115</v>
      </c>
      <c r="G1236" s="79" t="s">
        <v>1117</v>
      </c>
      <c r="H1236" s="79" t="s">
        <v>2772</v>
      </c>
      <c r="I1236" s="79" t="s">
        <v>2811</v>
      </c>
      <c r="J1236" s="79" t="s">
        <v>1118</v>
      </c>
      <c r="K1236" s="79" t="s">
        <v>723</v>
      </c>
      <c r="L1236" s="79" t="s">
        <v>1119</v>
      </c>
    </row>
    <row r="1237" spans="1:12" ht="12.75" customHeight="1" x14ac:dyDescent="0.2">
      <c r="A1237" s="91">
        <f t="shared" si="30"/>
        <v>1</v>
      </c>
      <c r="B1237" s="79" t="s">
        <v>2591</v>
      </c>
      <c r="C1237" s="79" t="s">
        <v>2591</v>
      </c>
      <c r="D1237" s="79" t="s">
        <v>2590</v>
      </c>
      <c r="E1237" s="55" t="s">
        <v>3417</v>
      </c>
      <c r="F1237" s="79" t="s">
        <v>2590</v>
      </c>
      <c r="G1237" s="79" t="s">
        <v>2592</v>
      </c>
      <c r="H1237" s="79" t="s">
        <v>2772</v>
      </c>
      <c r="I1237" s="79" t="s">
        <v>2803</v>
      </c>
      <c r="J1237" s="79" t="s">
        <v>1069</v>
      </c>
      <c r="K1237" s="79" t="s">
        <v>707</v>
      </c>
      <c r="L1237" s="79" t="s">
        <v>1034</v>
      </c>
    </row>
    <row r="1238" spans="1:12" ht="12.75" customHeight="1" x14ac:dyDescent="0.2">
      <c r="A1238" s="91">
        <f t="shared" si="30"/>
        <v>1</v>
      </c>
      <c r="B1238" s="79" t="s">
        <v>2541</v>
      </c>
      <c r="C1238" s="79" t="s">
        <v>2541</v>
      </c>
      <c r="D1238" s="79" t="s">
        <v>2540</v>
      </c>
      <c r="E1238" s="55" t="s">
        <v>3187</v>
      </c>
      <c r="F1238" s="79" t="s">
        <v>2540</v>
      </c>
      <c r="G1238" s="79" t="s">
        <v>2542</v>
      </c>
      <c r="H1238" s="79" t="s">
        <v>2759</v>
      </c>
      <c r="I1238" s="79" t="s">
        <v>2760</v>
      </c>
      <c r="J1238" s="79" t="s">
        <v>843</v>
      </c>
      <c r="K1238" s="79" t="s">
        <v>707</v>
      </c>
      <c r="L1238" s="79" t="s">
        <v>955</v>
      </c>
    </row>
    <row r="1239" spans="1:12" ht="12.75" customHeight="1" x14ac:dyDescent="0.2">
      <c r="A1239" s="91">
        <f t="shared" si="30"/>
        <v>1</v>
      </c>
      <c r="B1239" s="79" t="s">
        <v>2575</v>
      </c>
      <c r="C1239" s="79" t="s">
        <v>2575</v>
      </c>
      <c r="D1239" s="79" t="s">
        <v>2574</v>
      </c>
      <c r="E1239" s="55" t="s">
        <v>3418</v>
      </c>
      <c r="F1239" s="79" t="s">
        <v>2574</v>
      </c>
      <c r="G1239" s="79" t="s">
        <v>2576</v>
      </c>
      <c r="H1239" s="79" t="s">
        <v>2791</v>
      </c>
      <c r="I1239" s="79" t="s">
        <v>2812</v>
      </c>
      <c r="J1239" s="79" t="s">
        <v>2386</v>
      </c>
      <c r="K1239" s="79" t="s">
        <v>707</v>
      </c>
      <c r="L1239" s="79" t="s">
        <v>2387</v>
      </c>
    </row>
    <row r="1240" spans="1:12" ht="12.75" customHeight="1" x14ac:dyDescent="0.2">
      <c r="A1240" s="91">
        <f t="shared" si="30"/>
        <v>1</v>
      </c>
      <c r="B1240" s="79" t="s">
        <v>2575</v>
      </c>
      <c r="C1240" s="79" t="s">
        <v>2575</v>
      </c>
      <c r="D1240" s="79" t="s">
        <v>2749</v>
      </c>
      <c r="E1240" s="55" t="s">
        <v>3418</v>
      </c>
      <c r="F1240" s="79" t="s">
        <v>2749</v>
      </c>
      <c r="G1240" s="79" t="s">
        <v>2576</v>
      </c>
      <c r="H1240" s="79" t="s">
        <v>2791</v>
      </c>
      <c r="I1240" s="79" t="s">
        <v>2812</v>
      </c>
      <c r="J1240" s="79" t="s">
        <v>2386</v>
      </c>
      <c r="K1240" s="79" t="s">
        <v>707</v>
      </c>
      <c r="L1240" s="79" t="s">
        <v>2387</v>
      </c>
    </row>
    <row r="1241" spans="1:12" ht="12.75" customHeight="1" x14ac:dyDescent="0.2">
      <c r="A1241" s="91">
        <f t="shared" si="30"/>
        <v>1</v>
      </c>
      <c r="B1241" s="79" t="s">
        <v>2578</v>
      </c>
      <c r="C1241" s="79" t="s">
        <v>2578</v>
      </c>
      <c r="D1241" s="79" t="s">
        <v>2577</v>
      </c>
      <c r="E1241" s="55" t="s">
        <v>3269</v>
      </c>
      <c r="F1241" s="79" t="s">
        <v>2577</v>
      </c>
      <c r="G1241" s="79" t="s">
        <v>2012</v>
      </c>
      <c r="H1241" s="79" t="s">
        <v>2791</v>
      </c>
      <c r="I1241" s="79" t="s">
        <v>2764</v>
      </c>
      <c r="J1241" s="79" t="s">
        <v>2013</v>
      </c>
      <c r="K1241" s="79" t="s">
        <v>1489</v>
      </c>
      <c r="L1241" s="79" t="s">
        <v>2014</v>
      </c>
    </row>
    <row r="1242" spans="1:12" ht="12.75" customHeight="1" x14ac:dyDescent="0.2">
      <c r="A1242" s="91">
        <f t="shared" si="30"/>
        <v>1</v>
      </c>
      <c r="B1242" s="79" t="s">
        <v>2384</v>
      </c>
      <c r="C1242" s="79" t="s">
        <v>2384</v>
      </c>
      <c r="D1242" s="79" t="s">
        <v>2383</v>
      </c>
      <c r="E1242" s="55" t="s">
        <v>3418</v>
      </c>
      <c r="F1242" s="79" t="s">
        <v>2383</v>
      </c>
      <c r="G1242" s="79" t="s">
        <v>2385</v>
      </c>
      <c r="H1242" s="79" t="s">
        <v>2791</v>
      </c>
      <c r="I1242" s="79" t="s">
        <v>2812</v>
      </c>
      <c r="J1242" s="79" t="s">
        <v>2386</v>
      </c>
      <c r="K1242" s="79" t="s">
        <v>707</v>
      </c>
      <c r="L1242" s="79" t="s">
        <v>2387</v>
      </c>
    </row>
    <row r="1243" spans="1:12" ht="12.75" customHeight="1" x14ac:dyDescent="0.2">
      <c r="A1243" s="91">
        <f t="shared" si="30"/>
        <v>1</v>
      </c>
      <c r="B1243" s="79" t="s">
        <v>2384</v>
      </c>
      <c r="C1243" s="79" t="s">
        <v>2384</v>
      </c>
      <c r="D1243" s="79" t="s">
        <v>2747</v>
      </c>
      <c r="E1243" s="55" t="s">
        <v>3418</v>
      </c>
      <c r="F1243" s="79" t="s">
        <v>2747</v>
      </c>
      <c r="G1243" s="79" t="s">
        <v>2385</v>
      </c>
      <c r="H1243" s="79" t="s">
        <v>2791</v>
      </c>
      <c r="I1243" s="79" t="s">
        <v>2812</v>
      </c>
      <c r="J1243" s="79" t="s">
        <v>2386</v>
      </c>
      <c r="K1243" s="79" t="s">
        <v>707</v>
      </c>
      <c r="L1243" s="79" t="s">
        <v>2387</v>
      </c>
    </row>
    <row r="1244" spans="1:12" ht="12.75" customHeight="1" x14ac:dyDescent="0.2">
      <c r="A1244" s="91">
        <f t="shared" si="30"/>
        <v>1</v>
      </c>
      <c r="B1244" s="79" t="s">
        <v>2391</v>
      </c>
      <c r="C1244" s="79" t="s">
        <v>2391</v>
      </c>
      <c r="D1244" s="79" t="s">
        <v>2390</v>
      </c>
      <c r="E1244" s="55" t="s">
        <v>3222</v>
      </c>
      <c r="F1244" s="79" t="s">
        <v>2390</v>
      </c>
      <c r="G1244" s="79" t="s">
        <v>1987</v>
      </c>
      <c r="H1244" s="79" t="s">
        <v>2782</v>
      </c>
      <c r="I1244" s="79" t="s">
        <v>2783</v>
      </c>
      <c r="J1244" s="79" t="s">
        <v>1988</v>
      </c>
      <c r="K1244" s="79" t="s">
        <v>1489</v>
      </c>
      <c r="L1244" s="79" t="s">
        <v>1989</v>
      </c>
    </row>
    <row r="1245" spans="1:12" ht="12.75" customHeight="1" x14ac:dyDescent="0.2">
      <c r="A1245" s="91">
        <f t="shared" si="30"/>
        <v>1</v>
      </c>
      <c r="B1245" s="55" t="s">
        <v>2393</v>
      </c>
      <c r="C1245" s="55" t="s">
        <v>2393</v>
      </c>
      <c r="D1245" s="55" t="s">
        <v>2392</v>
      </c>
      <c r="E1245" s="55" t="s">
        <v>3265</v>
      </c>
      <c r="F1245" s="55" t="s">
        <v>2392</v>
      </c>
      <c r="G1245" s="55" t="s">
        <v>2303</v>
      </c>
      <c r="H1245" s="55" t="s">
        <v>2791</v>
      </c>
      <c r="I1245" s="55" t="s">
        <v>2809</v>
      </c>
      <c r="J1245" s="55" t="s">
        <v>2304</v>
      </c>
      <c r="K1245" s="55" t="s">
        <v>707</v>
      </c>
      <c r="L1245" s="55" t="s">
        <v>2305</v>
      </c>
    </row>
    <row r="1246" spans="1:12" ht="12.75" customHeight="1" x14ac:dyDescent="0.2">
      <c r="A1246" s="91">
        <f t="shared" si="30"/>
        <v>1</v>
      </c>
      <c r="B1246" s="55" t="s">
        <v>2389</v>
      </c>
      <c r="C1246" s="55" t="s">
        <v>2389</v>
      </c>
      <c r="D1246" s="55" t="s">
        <v>2388</v>
      </c>
      <c r="E1246" s="55" t="s">
        <v>3223</v>
      </c>
      <c r="F1246" s="55" t="s">
        <v>2388</v>
      </c>
      <c r="G1246" s="55" t="s">
        <v>1487</v>
      </c>
      <c r="H1246" s="55" t="s">
        <v>2791</v>
      </c>
      <c r="I1246" s="55" t="s">
        <v>2764</v>
      </c>
      <c r="J1246" s="55" t="s">
        <v>1488</v>
      </c>
      <c r="K1246" s="55" t="s">
        <v>1489</v>
      </c>
      <c r="L1246" s="55" t="s">
        <v>1490</v>
      </c>
    </row>
    <row r="1247" spans="1:12" ht="12.75" customHeight="1" x14ac:dyDescent="0.2">
      <c r="A1247" s="91">
        <f t="shared" si="30"/>
        <v>1</v>
      </c>
      <c r="B1247" s="55" t="s">
        <v>3133</v>
      </c>
      <c r="C1247" s="55" t="s">
        <v>3133</v>
      </c>
      <c r="D1247" s="55" t="s">
        <v>3134</v>
      </c>
      <c r="E1247" s="55" t="s">
        <v>3419</v>
      </c>
      <c r="F1247" s="55" t="s">
        <v>3134</v>
      </c>
      <c r="G1247" s="55" t="s">
        <v>3135</v>
      </c>
      <c r="H1247" s="55" t="s">
        <v>2786</v>
      </c>
      <c r="I1247" s="55" t="s">
        <v>2795</v>
      </c>
      <c r="J1247" s="55" t="s">
        <v>3136</v>
      </c>
      <c r="K1247" s="55" t="s">
        <v>707</v>
      </c>
      <c r="L1247" s="55" t="s">
        <v>3137</v>
      </c>
    </row>
    <row r="1248" spans="1:12" ht="12.75" customHeight="1" x14ac:dyDescent="0.2">
      <c r="A1248" s="91">
        <f t="shared" si="30"/>
        <v>1</v>
      </c>
      <c r="B1248" s="55" t="s">
        <v>933</v>
      </c>
      <c r="C1248" s="55" t="s">
        <v>933</v>
      </c>
      <c r="D1248" s="55" t="s">
        <v>932</v>
      </c>
      <c r="E1248" s="55" t="s">
        <v>3420</v>
      </c>
      <c r="F1248" s="55" t="s">
        <v>932</v>
      </c>
      <c r="G1248" s="55" t="s">
        <v>934</v>
      </c>
      <c r="H1248" s="55" t="s">
        <v>2804</v>
      </c>
      <c r="I1248" s="55" t="s">
        <v>2764</v>
      </c>
      <c r="J1248" s="55" t="s">
        <v>935</v>
      </c>
      <c r="K1248" s="55" t="s">
        <v>723</v>
      </c>
      <c r="L1248" s="55" t="s">
        <v>936</v>
      </c>
    </row>
    <row r="1249" spans="1:12" ht="12.75" customHeight="1" x14ac:dyDescent="0.2">
      <c r="A1249" s="91">
        <f t="shared" si="30"/>
        <v>1</v>
      </c>
      <c r="B1249" s="55" t="s">
        <v>928</v>
      </c>
      <c r="C1249" s="55" t="s">
        <v>928</v>
      </c>
      <c r="D1249" s="55" t="s">
        <v>927</v>
      </c>
      <c r="E1249" s="55" t="s">
        <v>3421</v>
      </c>
      <c r="F1249" s="55" t="s">
        <v>927</v>
      </c>
      <c r="G1249" s="55" t="s">
        <v>929</v>
      </c>
      <c r="H1249" s="55" t="s">
        <v>2804</v>
      </c>
      <c r="I1249" s="55" t="s">
        <v>2764</v>
      </c>
      <c r="J1249" s="55" t="s">
        <v>930</v>
      </c>
      <c r="K1249" s="55" t="s">
        <v>723</v>
      </c>
      <c r="L1249" s="55" t="s">
        <v>931</v>
      </c>
    </row>
    <row r="1250" spans="1:12" ht="12.75" customHeight="1" x14ac:dyDescent="0.2">
      <c r="A1250" s="91">
        <f t="shared" si="30"/>
        <v>1</v>
      </c>
      <c r="B1250" s="55" t="s">
        <v>3080</v>
      </c>
      <c r="C1250" s="55" t="s">
        <v>3080</v>
      </c>
      <c r="D1250" s="55" t="s">
        <v>1417</v>
      </c>
      <c r="E1250" s="55" t="s">
        <v>3242</v>
      </c>
      <c r="F1250" s="55" t="s">
        <v>1417</v>
      </c>
      <c r="G1250" s="55" t="s">
        <v>1419</v>
      </c>
      <c r="H1250" s="55" t="s">
        <v>2762</v>
      </c>
      <c r="I1250" s="55" t="s">
        <v>2769</v>
      </c>
      <c r="J1250" s="55" t="s">
        <v>1303</v>
      </c>
      <c r="K1250" s="55" t="s">
        <v>707</v>
      </c>
      <c r="L1250" s="55" t="s">
        <v>1304</v>
      </c>
    </row>
    <row r="1251" spans="1:12" ht="12.75" customHeight="1" x14ac:dyDescent="0.2">
      <c r="A1251" s="91">
        <f t="shared" si="30"/>
        <v>1</v>
      </c>
      <c r="B1251" s="55" t="s">
        <v>1200</v>
      </c>
      <c r="C1251" s="55" t="s">
        <v>1200</v>
      </c>
      <c r="D1251" s="55" t="s">
        <v>1199</v>
      </c>
      <c r="E1251" s="55" t="s">
        <v>3422</v>
      </c>
      <c r="F1251" s="55" t="s">
        <v>1199</v>
      </c>
      <c r="G1251" s="55" t="s">
        <v>1201</v>
      </c>
      <c r="H1251" s="55" t="s">
        <v>2772</v>
      </c>
      <c r="I1251" s="55" t="s">
        <v>2764</v>
      </c>
      <c r="J1251" s="55" t="s">
        <v>1177</v>
      </c>
      <c r="K1251" s="55" t="s">
        <v>1075</v>
      </c>
      <c r="L1251" s="55" t="s">
        <v>1202</v>
      </c>
    </row>
    <row r="1252" spans="1:12" ht="12.75" customHeight="1" x14ac:dyDescent="0.2">
      <c r="A1252" s="91">
        <f t="shared" si="30"/>
        <v>1</v>
      </c>
      <c r="B1252" s="55" t="s">
        <v>1101</v>
      </c>
      <c r="C1252" s="55" t="s">
        <v>1101</v>
      </c>
      <c r="D1252" s="55" t="s">
        <v>1100</v>
      </c>
      <c r="E1252" s="55" t="s">
        <v>3423</v>
      </c>
      <c r="F1252" s="55" t="s">
        <v>1100</v>
      </c>
      <c r="G1252" s="55" t="s">
        <v>1102</v>
      </c>
      <c r="H1252" s="55" t="s">
        <v>2772</v>
      </c>
      <c r="I1252" s="55" t="s">
        <v>2764</v>
      </c>
      <c r="J1252" s="55" t="s">
        <v>1103</v>
      </c>
      <c r="K1252" s="55" t="s">
        <v>1075</v>
      </c>
      <c r="L1252" s="55" t="s">
        <v>1104</v>
      </c>
    </row>
    <row r="1253" spans="1:12" ht="12.75" customHeight="1" x14ac:dyDescent="0.2">
      <c r="A1253" s="91">
        <f t="shared" si="30"/>
        <v>1</v>
      </c>
      <c r="B1253" s="55" t="s">
        <v>1106</v>
      </c>
      <c r="C1253" s="55" t="s">
        <v>1106</v>
      </c>
      <c r="D1253" s="55" t="s">
        <v>1105</v>
      </c>
      <c r="E1253" s="55" t="s">
        <v>3424</v>
      </c>
      <c r="F1253" s="55" t="s">
        <v>1105</v>
      </c>
      <c r="G1253" s="55" t="s">
        <v>1107</v>
      </c>
      <c r="H1253" s="55" t="s">
        <v>2772</v>
      </c>
      <c r="I1253" s="55" t="s">
        <v>2764</v>
      </c>
      <c r="J1253" s="55" t="s">
        <v>1108</v>
      </c>
      <c r="K1253" s="55" t="s">
        <v>1075</v>
      </c>
      <c r="L1253" s="55" t="s">
        <v>1109</v>
      </c>
    </row>
    <row r="1254" spans="1:12" ht="12.75" customHeight="1" x14ac:dyDescent="0.2">
      <c r="A1254" s="91">
        <f t="shared" si="30"/>
        <v>1</v>
      </c>
      <c r="B1254" s="55" t="s">
        <v>1111</v>
      </c>
      <c r="C1254" s="55" t="s">
        <v>1111</v>
      </c>
      <c r="D1254" s="55" t="s">
        <v>1110</v>
      </c>
      <c r="E1254" s="55" t="s">
        <v>3424</v>
      </c>
      <c r="F1254" s="55" t="s">
        <v>1110</v>
      </c>
      <c r="G1254" s="55" t="s">
        <v>1107</v>
      </c>
      <c r="H1254" s="55" t="s">
        <v>2772</v>
      </c>
      <c r="I1254" s="55" t="s">
        <v>2764</v>
      </c>
      <c r="J1254" s="55" t="s">
        <v>1108</v>
      </c>
      <c r="K1254" s="55" t="s">
        <v>1075</v>
      </c>
      <c r="L1254" s="55" t="s">
        <v>1109</v>
      </c>
    </row>
    <row r="1255" spans="1:12" ht="12.75" customHeight="1" x14ac:dyDescent="0.2">
      <c r="A1255" s="91">
        <f t="shared" si="30"/>
        <v>1</v>
      </c>
      <c r="B1255" s="55" t="s">
        <v>1175</v>
      </c>
      <c r="C1255" s="55" t="s">
        <v>1175</v>
      </c>
      <c r="D1255" s="55" t="s">
        <v>1174</v>
      </c>
      <c r="E1255" s="55" t="s">
        <v>3425</v>
      </c>
      <c r="F1255" s="55" t="s">
        <v>1174</v>
      </c>
      <c r="G1255" s="55" t="s">
        <v>1176</v>
      </c>
      <c r="H1255" s="55" t="s">
        <v>2772</v>
      </c>
      <c r="I1255" s="55" t="s">
        <v>2764</v>
      </c>
      <c r="J1255" s="55" t="s">
        <v>1177</v>
      </c>
      <c r="K1255" s="55" t="s">
        <v>1075</v>
      </c>
      <c r="L1255" s="55" t="s">
        <v>1178</v>
      </c>
    </row>
    <row r="1256" spans="1:12" ht="12.75" customHeight="1" x14ac:dyDescent="0.2">
      <c r="A1256" s="91">
        <f t="shared" si="30"/>
        <v>1</v>
      </c>
      <c r="B1256" s="55" t="s">
        <v>1180</v>
      </c>
      <c r="C1256" s="55" t="s">
        <v>1180</v>
      </c>
      <c r="D1256" s="55" t="s">
        <v>1179</v>
      </c>
      <c r="E1256" s="55" t="s">
        <v>3424</v>
      </c>
      <c r="F1256" s="55" t="s">
        <v>1179</v>
      </c>
      <c r="G1256" s="55" t="s">
        <v>1107</v>
      </c>
      <c r="H1256" s="55" t="s">
        <v>2772</v>
      </c>
      <c r="I1256" s="55" t="s">
        <v>2764</v>
      </c>
      <c r="J1256" s="55" t="s">
        <v>1108</v>
      </c>
      <c r="K1256" s="55" t="s">
        <v>1075</v>
      </c>
      <c r="L1256" s="55" t="s">
        <v>1109</v>
      </c>
    </row>
    <row r="1257" spans="1:12" ht="12.75" customHeight="1" x14ac:dyDescent="0.2">
      <c r="A1257" s="91">
        <f t="shared" si="30"/>
        <v>1</v>
      </c>
      <c r="B1257" s="55" t="s">
        <v>788</v>
      </c>
      <c r="C1257" s="55" t="s">
        <v>788</v>
      </c>
      <c r="D1257" s="55" t="s">
        <v>787</v>
      </c>
      <c r="E1257" s="55" t="s">
        <v>3426</v>
      </c>
      <c r="F1257" s="55" t="s">
        <v>787</v>
      </c>
      <c r="G1257" s="55" t="s">
        <v>789</v>
      </c>
      <c r="H1257" s="55" t="s">
        <v>2804</v>
      </c>
      <c r="I1257" s="55" t="s">
        <v>2817</v>
      </c>
      <c r="J1257" s="55" t="s">
        <v>790</v>
      </c>
      <c r="K1257" s="55" t="s">
        <v>707</v>
      </c>
      <c r="L1257" s="55" t="s">
        <v>791</v>
      </c>
    </row>
    <row r="1258" spans="1:12" ht="12.75" customHeight="1" x14ac:dyDescent="0.2">
      <c r="A1258" s="91">
        <f t="shared" si="30"/>
        <v>1</v>
      </c>
      <c r="B1258" s="55" t="s">
        <v>1736</v>
      </c>
      <c r="C1258" s="55" t="s">
        <v>1736</v>
      </c>
      <c r="D1258" s="55" t="s">
        <v>1735</v>
      </c>
      <c r="E1258" s="55" t="s">
        <v>3427</v>
      </c>
      <c r="F1258" s="55" t="s">
        <v>1735</v>
      </c>
      <c r="G1258" s="55" t="s">
        <v>1737</v>
      </c>
      <c r="H1258" s="55" t="s">
        <v>2775</v>
      </c>
      <c r="I1258" s="55" t="s">
        <v>2854</v>
      </c>
      <c r="J1258" s="55" t="s">
        <v>1738</v>
      </c>
      <c r="K1258" s="55" t="s">
        <v>707</v>
      </c>
      <c r="L1258" s="55" t="s">
        <v>1739</v>
      </c>
    </row>
    <row r="1259" spans="1:12" ht="12.75" customHeight="1" x14ac:dyDescent="0.2">
      <c r="A1259" s="91">
        <f t="shared" si="30"/>
        <v>1</v>
      </c>
      <c r="B1259" s="55" t="s">
        <v>1736</v>
      </c>
      <c r="C1259" s="55" t="s">
        <v>1736</v>
      </c>
      <c r="D1259" s="55" t="s">
        <v>2700</v>
      </c>
      <c r="E1259" s="55" t="s">
        <v>3427</v>
      </c>
      <c r="F1259" s="55" t="s">
        <v>2700</v>
      </c>
      <c r="G1259" s="55" t="s">
        <v>2701</v>
      </c>
      <c r="H1259" s="55" t="s">
        <v>2775</v>
      </c>
      <c r="I1259" s="55" t="s">
        <v>2854</v>
      </c>
      <c r="J1259" s="55" t="s">
        <v>1738</v>
      </c>
      <c r="K1259" s="55" t="s">
        <v>707</v>
      </c>
      <c r="L1259" s="55" t="s">
        <v>1739</v>
      </c>
    </row>
    <row r="1260" spans="1:12" ht="12.75" customHeight="1" x14ac:dyDescent="0.2">
      <c r="A1260" s="91">
        <f t="shared" si="30"/>
        <v>1</v>
      </c>
      <c r="B1260" s="55" t="s">
        <v>1736</v>
      </c>
      <c r="C1260" s="55" t="s">
        <v>1736</v>
      </c>
      <c r="D1260" s="55" t="s">
        <v>2702</v>
      </c>
      <c r="E1260" s="55" t="s">
        <v>3427</v>
      </c>
      <c r="F1260" s="55" t="s">
        <v>2702</v>
      </c>
      <c r="G1260" s="55" t="s">
        <v>2701</v>
      </c>
      <c r="H1260" s="55" t="s">
        <v>2775</v>
      </c>
      <c r="I1260" s="55" t="s">
        <v>2854</v>
      </c>
      <c r="J1260" s="55" t="s">
        <v>1738</v>
      </c>
      <c r="K1260" s="55" t="s">
        <v>707</v>
      </c>
      <c r="L1260" s="55" t="s">
        <v>1739</v>
      </c>
    </row>
    <row r="1261" spans="1:12" ht="12.75" customHeight="1" x14ac:dyDescent="0.2">
      <c r="A1261" s="91">
        <f t="shared" si="30"/>
        <v>1</v>
      </c>
      <c r="B1261" s="55" t="s">
        <v>1046</v>
      </c>
      <c r="C1261" s="55" t="s">
        <v>1046</v>
      </c>
      <c r="D1261" s="55" t="s">
        <v>1045</v>
      </c>
      <c r="E1261" s="55" t="s">
        <v>3428</v>
      </c>
      <c r="F1261" s="55" t="s">
        <v>1045</v>
      </c>
      <c r="G1261" s="55" t="s">
        <v>1047</v>
      </c>
      <c r="H1261" s="55" t="s">
        <v>2772</v>
      </c>
      <c r="I1261" s="55" t="s">
        <v>2803</v>
      </c>
      <c r="J1261" s="55" t="s">
        <v>1048</v>
      </c>
      <c r="K1261" s="55" t="s">
        <v>707</v>
      </c>
      <c r="L1261" s="55" t="s">
        <v>1049</v>
      </c>
    </row>
    <row r="1262" spans="1:12" ht="12.75" customHeight="1" x14ac:dyDescent="0.2">
      <c r="A1262" s="91">
        <f t="shared" si="30"/>
        <v>1</v>
      </c>
      <c r="B1262" s="55" t="s">
        <v>1060</v>
      </c>
      <c r="C1262" s="55" t="s">
        <v>1060</v>
      </c>
      <c r="D1262" s="55" t="s">
        <v>1059</v>
      </c>
      <c r="E1262" s="55" t="s">
        <v>3190</v>
      </c>
      <c r="F1262" s="55" t="s">
        <v>1059</v>
      </c>
      <c r="G1262" s="55" t="s">
        <v>842</v>
      </c>
      <c r="H1262" s="55" t="s">
        <v>2759</v>
      </c>
      <c r="I1262" s="55" t="s">
        <v>2760</v>
      </c>
      <c r="J1262" s="55" t="s">
        <v>843</v>
      </c>
      <c r="K1262" s="55" t="s">
        <v>707</v>
      </c>
      <c r="L1262" s="55" t="s">
        <v>844</v>
      </c>
    </row>
    <row r="1263" spans="1:12" ht="12.75" customHeight="1" x14ac:dyDescent="0.2">
      <c r="A1263" s="91">
        <f t="shared" si="30"/>
        <v>1</v>
      </c>
      <c r="B1263" s="55" t="s">
        <v>1053</v>
      </c>
      <c r="C1263" s="55" t="s">
        <v>1053</v>
      </c>
      <c r="D1263" s="55" t="s">
        <v>1052</v>
      </c>
      <c r="E1263" s="55" t="s">
        <v>3189</v>
      </c>
      <c r="F1263" s="55" t="s">
        <v>1052</v>
      </c>
      <c r="G1263" s="55" t="s">
        <v>1054</v>
      </c>
      <c r="H1263" s="55" t="s">
        <v>2762</v>
      </c>
      <c r="I1263" s="55" t="s">
        <v>2766</v>
      </c>
      <c r="J1263" s="55" t="s">
        <v>817</v>
      </c>
      <c r="K1263" s="55" t="s">
        <v>707</v>
      </c>
      <c r="L1263" s="55" t="s">
        <v>818</v>
      </c>
    </row>
    <row r="1264" spans="1:12" ht="12.75" customHeight="1" x14ac:dyDescent="0.2">
      <c r="A1264" s="91">
        <f t="shared" si="30"/>
        <v>1</v>
      </c>
      <c r="B1264" s="55" t="s">
        <v>1058</v>
      </c>
      <c r="C1264" s="55" t="s">
        <v>1058</v>
      </c>
      <c r="D1264" s="55" t="s">
        <v>1057</v>
      </c>
      <c r="E1264" s="55" t="s">
        <v>3186</v>
      </c>
      <c r="F1264" s="55" t="s">
        <v>1057</v>
      </c>
      <c r="G1264" s="55" t="s">
        <v>826</v>
      </c>
      <c r="H1264" s="55" t="s">
        <v>2762</v>
      </c>
      <c r="I1264" s="55" t="s">
        <v>2763</v>
      </c>
      <c r="J1264" s="55" t="s">
        <v>827</v>
      </c>
      <c r="K1264" s="55" t="s">
        <v>707</v>
      </c>
      <c r="L1264" s="55" t="s">
        <v>828</v>
      </c>
    </row>
    <row r="1265" spans="1:12" ht="12.75" customHeight="1" x14ac:dyDescent="0.2">
      <c r="A1265" s="91">
        <f t="shared" si="30"/>
        <v>1</v>
      </c>
      <c r="B1265" s="55" t="s">
        <v>1056</v>
      </c>
      <c r="C1265" s="55" t="s">
        <v>1056</v>
      </c>
      <c r="D1265" s="55" t="s">
        <v>1055</v>
      </c>
      <c r="E1265" s="55" t="s">
        <v>3236</v>
      </c>
      <c r="F1265" s="55" t="s">
        <v>1055</v>
      </c>
      <c r="G1265" s="55" t="s">
        <v>821</v>
      </c>
      <c r="H1265" s="55" t="s">
        <v>2762</v>
      </c>
      <c r="I1265" s="55" t="s">
        <v>2774</v>
      </c>
      <c r="J1265" s="55" t="s">
        <v>822</v>
      </c>
      <c r="K1265" s="55" t="s">
        <v>707</v>
      </c>
      <c r="L1265" s="55" t="s">
        <v>823</v>
      </c>
    </row>
    <row r="1266" spans="1:12" ht="12.75" customHeight="1" x14ac:dyDescent="0.2">
      <c r="A1266" s="91">
        <f t="shared" si="30"/>
        <v>1</v>
      </c>
      <c r="B1266" s="55" t="s">
        <v>1051</v>
      </c>
      <c r="C1266" s="55" t="s">
        <v>1051</v>
      </c>
      <c r="D1266" s="55" t="s">
        <v>1050</v>
      </c>
      <c r="E1266" s="55" t="s">
        <v>3247</v>
      </c>
      <c r="F1266" s="55" t="s">
        <v>1050</v>
      </c>
      <c r="G1266" s="55" t="s">
        <v>997</v>
      </c>
      <c r="H1266" s="55" t="s">
        <v>2762</v>
      </c>
      <c r="I1266" s="55" t="s">
        <v>2763</v>
      </c>
      <c r="J1266" s="55" t="s">
        <v>998</v>
      </c>
      <c r="K1266" s="55" t="s">
        <v>707</v>
      </c>
      <c r="L1266" s="55" t="s">
        <v>999</v>
      </c>
    </row>
    <row r="1267" spans="1:12" ht="12.75" customHeight="1" x14ac:dyDescent="0.2">
      <c r="A1267" s="91">
        <f t="shared" si="30"/>
        <v>1</v>
      </c>
      <c r="B1267" s="55" t="s">
        <v>1083</v>
      </c>
      <c r="C1267" s="55" t="s">
        <v>1083</v>
      </c>
      <c r="D1267" s="55" t="s">
        <v>1082</v>
      </c>
      <c r="E1267" s="55" t="s">
        <v>3429</v>
      </c>
      <c r="F1267" s="55" t="s">
        <v>1082</v>
      </c>
      <c r="G1267" s="55" t="s">
        <v>1084</v>
      </c>
      <c r="H1267" s="55" t="s">
        <v>2772</v>
      </c>
      <c r="I1267" s="55" t="s">
        <v>2788</v>
      </c>
      <c r="J1267" s="55" t="s">
        <v>1085</v>
      </c>
      <c r="K1267" s="55" t="s">
        <v>707</v>
      </c>
      <c r="L1267" s="55" t="s">
        <v>1086</v>
      </c>
    </row>
    <row r="1268" spans="1:12" ht="12.75" customHeight="1" x14ac:dyDescent="0.2">
      <c r="A1268" s="91">
        <f t="shared" si="30"/>
        <v>1</v>
      </c>
      <c r="B1268" s="55" t="s">
        <v>1083</v>
      </c>
      <c r="C1268" s="55" t="s">
        <v>1083</v>
      </c>
      <c r="D1268" s="55" t="s">
        <v>2595</v>
      </c>
      <c r="E1268" s="55" t="s">
        <v>3429</v>
      </c>
      <c r="F1268" s="55" t="s">
        <v>2595</v>
      </c>
      <c r="G1268" s="55" t="s">
        <v>1084</v>
      </c>
      <c r="H1268" s="55" t="s">
        <v>2772</v>
      </c>
      <c r="I1268" s="55" t="s">
        <v>2788</v>
      </c>
      <c r="J1268" s="55" t="s">
        <v>1085</v>
      </c>
      <c r="K1268" s="55" t="s">
        <v>707</v>
      </c>
      <c r="L1268" s="55" t="s">
        <v>1086</v>
      </c>
    </row>
    <row r="1269" spans="1:12" ht="12.75" customHeight="1" x14ac:dyDescent="0.2">
      <c r="A1269" s="91">
        <f t="shared" si="30"/>
        <v>1</v>
      </c>
      <c r="B1269" s="55" t="s">
        <v>943</v>
      </c>
      <c r="C1269" s="55" t="s">
        <v>943</v>
      </c>
      <c r="D1269" s="55" t="s">
        <v>942</v>
      </c>
      <c r="E1269" s="55" t="s">
        <v>3388</v>
      </c>
      <c r="F1269" s="55" t="s">
        <v>942</v>
      </c>
      <c r="G1269" s="55" t="s">
        <v>944</v>
      </c>
      <c r="H1269" s="55" t="s">
        <v>2772</v>
      </c>
      <c r="I1269" s="55" t="s">
        <v>2806</v>
      </c>
      <c r="J1269" s="55" t="s">
        <v>945</v>
      </c>
      <c r="K1269" s="55" t="s">
        <v>707</v>
      </c>
      <c r="L1269" s="55" t="s">
        <v>946</v>
      </c>
    </row>
    <row r="1270" spans="1:12" ht="12.75" customHeight="1" x14ac:dyDescent="0.2">
      <c r="A1270" s="91">
        <f t="shared" si="30"/>
        <v>1</v>
      </c>
      <c r="B1270" s="55" t="s">
        <v>793</v>
      </c>
      <c r="C1270" s="55" t="s">
        <v>793</v>
      </c>
      <c r="D1270" s="55" t="s">
        <v>792</v>
      </c>
      <c r="E1270" s="55" t="s">
        <v>3430</v>
      </c>
      <c r="F1270" s="55" t="s">
        <v>792</v>
      </c>
      <c r="G1270" s="55" t="s">
        <v>794</v>
      </c>
      <c r="H1270" s="55" t="s">
        <v>2804</v>
      </c>
      <c r="I1270" s="55" t="s">
        <v>2845</v>
      </c>
      <c r="J1270" s="55" t="s">
        <v>795</v>
      </c>
      <c r="K1270" s="55" t="s">
        <v>707</v>
      </c>
      <c r="L1270" s="55" t="s">
        <v>796</v>
      </c>
    </row>
    <row r="1271" spans="1:12" ht="12.75" customHeight="1" x14ac:dyDescent="0.2">
      <c r="A1271" s="91">
        <f t="shared" si="30"/>
        <v>1</v>
      </c>
      <c r="B1271" s="55" t="s">
        <v>838</v>
      </c>
      <c r="C1271" s="55" t="s">
        <v>838</v>
      </c>
      <c r="D1271" s="55" t="s">
        <v>837</v>
      </c>
      <c r="E1271" s="55" t="s">
        <v>3188</v>
      </c>
      <c r="F1271" s="55" t="s">
        <v>837</v>
      </c>
      <c r="G1271" s="55" t="s">
        <v>839</v>
      </c>
      <c r="H1271" s="55" t="s">
        <v>2767</v>
      </c>
      <c r="I1271" s="55" t="s">
        <v>2768</v>
      </c>
      <c r="J1271" s="55" t="s">
        <v>835</v>
      </c>
      <c r="K1271" s="55" t="s">
        <v>707</v>
      </c>
      <c r="L1271" s="55" t="s">
        <v>836</v>
      </c>
    </row>
    <row r="1272" spans="1:12" ht="12.75" customHeight="1" x14ac:dyDescent="0.2">
      <c r="A1272" s="91">
        <f t="shared" si="30"/>
        <v>1</v>
      </c>
      <c r="B1272" s="55" t="s">
        <v>1486</v>
      </c>
      <c r="C1272" s="55" t="s">
        <v>1486</v>
      </c>
      <c r="D1272" s="55" t="s">
        <v>1485</v>
      </c>
      <c r="E1272" s="55" t="s">
        <v>3223</v>
      </c>
      <c r="F1272" s="55" t="s">
        <v>1485</v>
      </c>
      <c r="G1272" s="55" t="s">
        <v>1487</v>
      </c>
      <c r="H1272" s="55" t="s">
        <v>2791</v>
      </c>
      <c r="I1272" s="55" t="s">
        <v>1489</v>
      </c>
      <c r="J1272" s="55" t="s">
        <v>1488</v>
      </c>
      <c r="K1272" s="55" t="s">
        <v>1489</v>
      </c>
      <c r="L1272" s="55" t="s">
        <v>1490</v>
      </c>
    </row>
    <row r="1273" spans="1:12" ht="12.75" customHeight="1" x14ac:dyDescent="0.2">
      <c r="A1273" s="91">
        <f t="shared" si="30"/>
        <v>1</v>
      </c>
      <c r="B1273" s="55" t="s">
        <v>1479</v>
      </c>
      <c r="C1273" s="55" t="s">
        <v>1479</v>
      </c>
      <c r="D1273" s="55" t="s">
        <v>1478</v>
      </c>
      <c r="E1273" s="55" t="s">
        <v>3242</v>
      </c>
      <c r="F1273" s="55" t="s">
        <v>1478</v>
      </c>
      <c r="G1273" s="55" t="s">
        <v>1480</v>
      </c>
      <c r="H1273" s="55" t="s">
        <v>2762</v>
      </c>
      <c r="I1273" s="55" t="s">
        <v>2769</v>
      </c>
      <c r="J1273" s="55" t="s">
        <v>1303</v>
      </c>
      <c r="K1273" s="55" t="s">
        <v>707</v>
      </c>
      <c r="L1273" s="55" t="s">
        <v>1304</v>
      </c>
    </row>
    <row r="1274" spans="1:12" ht="12.75" customHeight="1" x14ac:dyDescent="0.2">
      <c r="A1274" s="91">
        <f t="shared" si="30"/>
        <v>1</v>
      </c>
      <c r="B1274" s="55" t="s">
        <v>1479</v>
      </c>
      <c r="C1274" s="55" t="s">
        <v>1479</v>
      </c>
      <c r="D1274" s="55" t="s">
        <v>2670</v>
      </c>
      <c r="E1274" s="55" t="s">
        <v>3242</v>
      </c>
      <c r="F1274" s="55" t="s">
        <v>2670</v>
      </c>
      <c r="G1274" s="55" t="s">
        <v>1480</v>
      </c>
      <c r="H1274" s="55" t="s">
        <v>2762</v>
      </c>
      <c r="I1274" s="55" t="s">
        <v>2769</v>
      </c>
      <c r="J1274" s="55" t="s">
        <v>1303</v>
      </c>
      <c r="K1274" s="55" t="s">
        <v>707</v>
      </c>
      <c r="L1274" s="55" t="s">
        <v>1304</v>
      </c>
    </row>
    <row r="1275" spans="1:12" ht="12.75" customHeight="1" x14ac:dyDescent="0.2">
      <c r="A1275" s="91">
        <f t="shared" si="30"/>
        <v>1</v>
      </c>
      <c r="B1275" s="55" t="s">
        <v>1484</v>
      </c>
      <c r="C1275" s="55" t="s">
        <v>1484</v>
      </c>
      <c r="D1275" s="55" t="s">
        <v>1483</v>
      </c>
      <c r="E1275" s="55" t="s">
        <v>3235</v>
      </c>
      <c r="F1275" s="55" t="s">
        <v>1483</v>
      </c>
      <c r="G1275" s="55" t="s">
        <v>1322</v>
      </c>
      <c r="H1275" s="55" t="s">
        <v>2762</v>
      </c>
      <c r="I1275" s="55" t="s">
        <v>2769</v>
      </c>
      <c r="J1275" s="55" t="s">
        <v>1323</v>
      </c>
      <c r="K1275" s="55" t="s">
        <v>707</v>
      </c>
      <c r="L1275" s="55" t="s">
        <v>1324</v>
      </c>
    </row>
    <row r="1276" spans="1:12" ht="12.75" customHeight="1" x14ac:dyDescent="0.2">
      <c r="A1276" s="91">
        <f t="shared" si="30"/>
        <v>1</v>
      </c>
      <c r="B1276" s="55" t="s">
        <v>1504</v>
      </c>
      <c r="C1276" s="55" t="s">
        <v>1504</v>
      </c>
      <c r="D1276" s="55" t="s">
        <v>1503</v>
      </c>
      <c r="E1276" s="55" t="s">
        <v>3431</v>
      </c>
      <c r="F1276" s="55" t="s">
        <v>1503</v>
      </c>
      <c r="G1276" s="55" t="s">
        <v>3092</v>
      </c>
      <c r="H1276" s="55" t="s">
        <v>2762</v>
      </c>
      <c r="I1276" s="55" t="s">
        <v>2774</v>
      </c>
      <c r="J1276" s="55" t="s">
        <v>1501</v>
      </c>
      <c r="K1276" s="55" t="s">
        <v>707</v>
      </c>
      <c r="L1276" s="55" t="s">
        <v>1506</v>
      </c>
    </row>
    <row r="1277" spans="1:12" ht="12.75" customHeight="1" x14ac:dyDescent="0.2">
      <c r="A1277" s="91">
        <f t="shared" si="30"/>
        <v>1</v>
      </c>
      <c r="B1277" s="55" t="s">
        <v>1429</v>
      </c>
      <c r="C1277" s="55" t="s">
        <v>1429</v>
      </c>
      <c r="D1277" s="55" t="s">
        <v>1428</v>
      </c>
      <c r="E1277" s="55" t="s">
        <v>3184</v>
      </c>
      <c r="F1277" s="55" t="s">
        <v>1428</v>
      </c>
      <c r="G1277" s="55" t="s">
        <v>1430</v>
      </c>
      <c r="H1277" s="55" t="s">
        <v>2762</v>
      </c>
      <c r="I1277" s="55" t="s">
        <v>2764</v>
      </c>
      <c r="J1277" s="55" t="s">
        <v>1431</v>
      </c>
      <c r="K1277" s="55" t="s">
        <v>898</v>
      </c>
      <c r="L1277" s="55" t="s">
        <v>1432</v>
      </c>
    </row>
    <row r="1278" spans="1:12" ht="12.75" customHeight="1" x14ac:dyDescent="0.2">
      <c r="A1278" s="91">
        <f t="shared" si="30"/>
        <v>1</v>
      </c>
      <c r="B1278" s="55" t="s">
        <v>1492</v>
      </c>
      <c r="C1278" s="55" t="s">
        <v>1492</v>
      </c>
      <c r="D1278" s="55" t="s">
        <v>1491</v>
      </c>
      <c r="E1278" s="55" t="s">
        <v>3184</v>
      </c>
      <c r="F1278" s="55" t="s">
        <v>1491</v>
      </c>
      <c r="G1278" s="55" t="s">
        <v>1493</v>
      </c>
      <c r="H1278" s="55" t="s">
        <v>2762</v>
      </c>
      <c r="I1278" s="55" t="s">
        <v>2765</v>
      </c>
      <c r="J1278" s="55" t="s">
        <v>1431</v>
      </c>
      <c r="K1278" s="55" t="s">
        <v>898</v>
      </c>
      <c r="L1278" s="55" t="s">
        <v>1432</v>
      </c>
    </row>
    <row r="1279" spans="1:12" ht="12.75" customHeight="1" x14ac:dyDescent="0.2">
      <c r="A1279" s="91">
        <f t="shared" ref="A1279:A1323" si="31">IF(B1279=B580,1,"CHECK")</f>
        <v>1</v>
      </c>
      <c r="B1279" s="55" t="s">
        <v>1460</v>
      </c>
      <c r="C1279" s="55" t="s">
        <v>1460</v>
      </c>
      <c r="D1279" s="55" t="s">
        <v>1459</v>
      </c>
      <c r="E1279" s="55" t="s">
        <v>3432</v>
      </c>
      <c r="F1279" s="55" t="s">
        <v>1459</v>
      </c>
      <c r="G1279" s="55" t="s">
        <v>1461</v>
      </c>
      <c r="H1279" s="55" t="s">
        <v>2762</v>
      </c>
      <c r="I1279" s="55" t="s">
        <v>2764</v>
      </c>
      <c r="J1279" s="55" t="s">
        <v>1263</v>
      </c>
      <c r="K1279" s="55" t="s">
        <v>898</v>
      </c>
      <c r="L1279" s="55" t="s">
        <v>1462</v>
      </c>
    </row>
    <row r="1280" spans="1:12" ht="12.75" customHeight="1" x14ac:dyDescent="0.2">
      <c r="A1280" s="91">
        <f t="shared" si="31"/>
        <v>1</v>
      </c>
      <c r="B1280" s="55" t="s">
        <v>1377</v>
      </c>
      <c r="C1280" s="55" t="s">
        <v>1377</v>
      </c>
      <c r="D1280" s="55" t="s">
        <v>1376</v>
      </c>
      <c r="E1280" s="55" t="s">
        <v>3192</v>
      </c>
      <c r="F1280" s="55" t="s">
        <v>1376</v>
      </c>
      <c r="G1280" s="55" t="s">
        <v>1378</v>
      </c>
      <c r="H1280" s="55" t="s">
        <v>2762</v>
      </c>
      <c r="I1280" s="55" t="s">
        <v>2766</v>
      </c>
      <c r="J1280" s="55" t="s">
        <v>885</v>
      </c>
      <c r="K1280" s="55" t="s">
        <v>707</v>
      </c>
      <c r="L1280" s="55" t="s">
        <v>1257</v>
      </c>
    </row>
    <row r="1281" spans="1:12" ht="12.75" customHeight="1" x14ac:dyDescent="0.2">
      <c r="A1281" s="91">
        <f t="shared" si="31"/>
        <v>1</v>
      </c>
      <c r="B1281" s="55" t="s">
        <v>1377</v>
      </c>
      <c r="C1281" s="55" t="s">
        <v>1377</v>
      </c>
      <c r="D1281" s="55" t="s">
        <v>2665</v>
      </c>
      <c r="E1281" s="55" t="s">
        <v>3192</v>
      </c>
      <c r="F1281" s="55" t="s">
        <v>2665</v>
      </c>
      <c r="G1281" s="55" t="s">
        <v>2666</v>
      </c>
      <c r="H1281" s="55" t="s">
        <v>2762</v>
      </c>
      <c r="I1281" s="55" t="s">
        <v>2766</v>
      </c>
      <c r="J1281" s="55" t="s">
        <v>885</v>
      </c>
      <c r="K1281" s="55" t="s">
        <v>707</v>
      </c>
      <c r="L1281" s="55" t="s">
        <v>1257</v>
      </c>
    </row>
    <row r="1282" spans="1:12" ht="12.75" customHeight="1" x14ac:dyDescent="0.2">
      <c r="A1282" s="91">
        <f t="shared" si="31"/>
        <v>1</v>
      </c>
      <c r="B1282" s="55" t="s">
        <v>1382</v>
      </c>
      <c r="C1282" s="55" t="s">
        <v>1382</v>
      </c>
      <c r="D1282" s="55" t="s">
        <v>1381</v>
      </c>
      <c r="E1282" s="55" t="s">
        <v>3235</v>
      </c>
      <c r="F1282" s="55" t="s">
        <v>1381</v>
      </c>
      <c r="G1282" s="55" t="s">
        <v>1322</v>
      </c>
      <c r="H1282" s="55" t="s">
        <v>2762</v>
      </c>
      <c r="I1282" s="55" t="s">
        <v>2769</v>
      </c>
      <c r="J1282" s="55" t="s">
        <v>1323</v>
      </c>
      <c r="K1282" s="55" t="s">
        <v>707</v>
      </c>
      <c r="L1282" s="55" t="s">
        <v>1324</v>
      </c>
    </row>
    <row r="1283" spans="1:12" ht="12.75" customHeight="1" x14ac:dyDescent="0.2">
      <c r="A1283" s="91">
        <f t="shared" si="31"/>
        <v>1</v>
      </c>
      <c r="B1283" s="55" t="s">
        <v>3109</v>
      </c>
      <c r="C1283" s="55" t="s">
        <v>3109</v>
      </c>
      <c r="D1283" s="55" t="s">
        <v>3110</v>
      </c>
      <c r="E1283" s="55" t="s">
        <v>3433</v>
      </c>
      <c r="F1283" s="55" t="s">
        <v>3110</v>
      </c>
      <c r="G1283" s="55" t="s">
        <v>3111</v>
      </c>
      <c r="H1283" s="55" t="s">
        <v>2780</v>
      </c>
      <c r="I1283" s="55" t="s">
        <v>2820</v>
      </c>
      <c r="J1283" s="55" t="s">
        <v>2169</v>
      </c>
      <c r="K1283" s="55" t="s">
        <v>707</v>
      </c>
      <c r="L1283" s="55" t="s">
        <v>2170</v>
      </c>
    </row>
    <row r="1284" spans="1:12" ht="12.75" customHeight="1" x14ac:dyDescent="0.2">
      <c r="A1284" s="91">
        <f t="shared" si="31"/>
        <v>1</v>
      </c>
      <c r="B1284" s="55" t="s">
        <v>2175</v>
      </c>
      <c r="C1284" s="55" t="s">
        <v>2175</v>
      </c>
      <c r="D1284" s="55" t="s">
        <v>2174</v>
      </c>
      <c r="E1284" s="55" t="s">
        <v>3434</v>
      </c>
      <c r="F1284" s="55" t="s">
        <v>2174</v>
      </c>
      <c r="G1284" s="55" t="s">
        <v>2176</v>
      </c>
      <c r="H1284" s="55" t="s">
        <v>2780</v>
      </c>
      <c r="I1284" s="55" t="s">
        <v>2820</v>
      </c>
      <c r="J1284" s="55" t="s">
        <v>2177</v>
      </c>
      <c r="K1284" s="55" t="s">
        <v>707</v>
      </c>
      <c r="L1284" s="55" t="s">
        <v>2178</v>
      </c>
    </row>
    <row r="1285" spans="1:12" ht="12.75" customHeight="1" x14ac:dyDescent="0.2">
      <c r="A1285" s="91">
        <f t="shared" si="31"/>
        <v>1</v>
      </c>
      <c r="B1285" s="55" t="s">
        <v>2167</v>
      </c>
      <c r="C1285" s="55" t="s">
        <v>2167</v>
      </c>
      <c r="D1285" s="55" t="s">
        <v>2166</v>
      </c>
      <c r="E1285" s="55" t="s">
        <v>3433</v>
      </c>
      <c r="F1285" s="55" t="s">
        <v>2166</v>
      </c>
      <c r="G1285" s="55" t="s">
        <v>2168</v>
      </c>
      <c r="H1285" s="55" t="s">
        <v>2780</v>
      </c>
      <c r="I1285" s="55" t="s">
        <v>2781</v>
      </c>
      <c r="J1285" s="55" t="s">
        <v>2169</v>
      </c>
      <c r="K1285" s="55" t="s">
        <v>707</v>
      </c>
      <c r="L1285" s="55" t="s">
        <v>2170</v>
      </c>
    </row>
    <row r="1286" spans="1:12" ht="12.75" customHeight="1" x14ac:dyDescent="0.2">
      <c r="A1286" s="91">
        <f t="shared" si="31"/>
        <v>1</v>
      </c>
      <c r="B1286" s="55" t="s">
        <v>1647</v>
      </c>
      <c r="C1286" s="55" t="s">
        <v>1647</v>
      </c>
      <c r="D1286" s="55" t="s">
        <v>1646</v>
      </c>
      <c r="E1286" s="55" t="s">
        <v>3435</v>
      </c>
      <c r="F1286" s="55" t="s">
        <v>1646</v>
      </c>
      <c r="G1286" s="55" t="s">
        <v>1648</v>
      </c>
      <c r="H1286" s="55" t="s">
        <v>2834</v>
      </c>
      <c r="I1286" s="55" t="s">
        <v>2838</v>
      </c>
      <c r="J1286" s="55" t="s">
        <v>1649</v>
      </c>
      <c r="K1286" s="55" t="s">
        <v>707</v>
      </c>
      <c r="L1286" s="55" t="s">
        <v>1650</v>
      </c>
    </row>
    <row r="1287" spans="1:12" ht="12.75" customHeight="1" x14ac:dyDescent="0.2">
      <c r="A1287" s="91">
        <f t="shared" si="31"/>
        <v>1</v>
      </c>
      <c r="B1287" s="55" t="s">
        <v>1647</v>
      </c>
      <c r="C1287" s="55" t="s">
        <v>1647</v>
      </c>
      <c r="D1287" s="55" t="s">
        <v>2692</v>
      </c>
      <c r="E1287" s="55" t="s">
        <v>3435</v>
      </c>
      <c r="F1287" s="55" t="s">
        <v>2692</v>
      </c>
      <c r="G1287" s="55" t="s">
        <v>1648</v>
      </c>
      <c r="H1287" s="55" t="s">
        <v>2834</v>
      </c>
      <c r="I1287" s="55" t="s">
        <v>2838</v>
      </c>
      <c r="J1287" s="55" t="s">
        <v>1649</v>
      </c>
      <c r="K1287" s="55" t="s">
        <v>707</v>
      </c>
      <c r="L1287" s="55" t="s">
        <v>1650</v>
      </c>
    </row>
    <row r="1288" spans="1:12" ht="12.75" customHeight="1" x14ac:dyDescent="0.2">
      <c r="A1288" s="91">
        <f t="shared" si="31"/>
        <v>1</v>
      </c>
      <c r="B1288" s="55" t="s">
        <v>720</v>
      </c>
      <c r="C1288" s="55" t="s">
        <v>720</v>
      </c>
      <c r="D1288" s="55" t="s">
        <v>719</v>
      </c>
      <c r="E1288" s="55" t="s">
        <v>3436</v>
      </c>
      <c r="F1288" s="55" t="s">
        <v>719</v>
      </c>
      <c r="G1288" s="55" t="s">
        <v>721</v>
      </c>
      <c r="H1288" s="55" t="s">
        <v>2804</v>
      </c>
      <c r="I1288" s="55" t="s">
        <v>2811</v>
      </c>
      <c r="J1288" s="55" t="s">
        <v>722</v>
      </c>
      <c r="K1288" s="55" t="s">
        <v>723</v>
      </c>
      <c r="L1288" s="55" t="s">
        <v>724</v>
      </c>
    </row>
    <row r="1289" spans="1:12" ht="12.75" customHeight="1" x14ac:dyDescent="0.2">
      <c r="A1289" s="91">
        <f t="shared" si="31"/>
        <v>1</v>
      </c>
      <c r="B1289" s="55" t="s">
        <v>918</v>
      </c>
      <c r="C1289" s="55" t="s">
        <v>918</v>
      </c>
      <c r="D1289" s="55" t="s">
        <v>917</v>
      </c>
      <c r="E1289" s="55" t="s">
        <v>3437</v>
      </c>
      <c r="F1289" s="55" t="s">
        <v>917</v>
      </c>
      <c r="G1289" s="55" t="s">
        <v>919</v>
      </c>
      <c r="H1289" s="55" t="s">
        <v>2804</v>
      </c>
      <c r="I1289" s="55" t="s">
        <v>2764</v>
      </c>
      <c r="J1289" s="55" t="s">
        <v>920</v>
      </c>
      <c r="K1289" s="55" t="s">
        <v>723</v>
      </c>
      <c r="L1289" s="55" t="s">
        <v>921</v>
      </c>
    </row>
    <row r="1290" spans="1:12" ht="12.75" customHeight="1" x14ac:dyDescent="0.2">
      <c r="A1290" s="91">
        <f t="shared" si="31"/>
        <v>1</v>
      </c>
      <c r="B1290" s="55" t="s">
        <v>1815</v>
      </c>
      <c r="C1290" s="55" t="s">
        <v>1815</v>
      </c>
      <c r="D1290" s="55" t="s">
        <v>1814</v>
      </c>
      <c r="E1290" s="55" t="s">
        <v>3205</v>
      </c>
      <c r="F1290" s="55" t="s">
        <v>1814</v>
      </c>
      <c r="G1290" s="55" t="s">
        <v>1816</v>
      </c>
      <c r="H1290" s="55" t="s">
        <v>2770</v>
      </c>
      <c r="I1290" s="55" t="s">
        <v>2764</v>
      </c>
      <c r="J1290" s="55" t="s">
        <v>1817</v>
      </c>
      <c r="K1290" s="55" t="s">
        <v>723</v>
      </c>
      <c r="L1290" s="55" t="s">
        <v>1818</v>
      </c>
    </row>
    <row r="1291" spans="1:12" ht="12.75" customHeight="1" x14ac:dyDescent="0.2">
      <c r="A1291" s="91">
        <f t="shared" si="31"/>
        <v>1</v>
      </c>
      <c r="B1291" s="55" t="s">
        <v>923</v>
      </c>
      <c r="C1291" s="55" t="s">
        <v>923</v>
      </c>
      <c r="D1291" s="55" t="s">
        <v>922</v>
      </c>
      <c r="E1291" s="55" t="s">
        <v>3438</v>
      </c>
      <c r="F1291" s="55" t="s">
        <v>922</v>
      </c>
      <c r="G1291" s="55" t="s">
        <v>924</v>
      </c>
      <c r="H1291" s="55" t="s">
        <v>2804</v>
      </c>
      <c r="I1291" s="55" t="s">
        <v>2764</v>
      </c>
      <c r="J1291" s="55" t="s">
        <v>925</v>
      </c>
      <c r="K1291" s="55" t="s">
        <v>723</v>
      </c>
      <c r="L1291" s="55" t="s">
        <v>926</v>
      </c>
    </row>
    <row r="1292" spans="1:12" ht="12.75" customHeight="1" x14ac:dyDescent="0.2">
      <c r="A1292" s="91">
        <f t="shared" si="31"/>
        <v>1</v>
      </c>
      <c r="B1292" s="55" t="s">
        <v>1518</v>
      </c>
      <c r="C1292" s="55" t="s">
        <v>1518</v>
      </c>
      <c r="D1292" s="55" t="s">
        <v>1517</v>
      </c>
      <c r="E1292" s="55" t="s">
        <v>3439</v>
      </c>
      <c r="F1292" s="55" t="s">
        <v>1517</v>
      </c>
      <c r="G1292" s="55" t="s">
        <v>1519</v>
      </c>
      <c r="H1292" s="55" t="s">
        <v>2786</v>
      </c>
      <c r="I1292" s="55" t="s">
        <v>2848</v>
      </c>
      <c r="J1292" s="55" t="s">
        <v>1520</v>
      </c>
      <c r="K1292" s="55" t="s">
        <v>707</v>
      </c>
      <c r="L1292" s="55" t="s">
        <v>1521</v>
      </c>
    </row>
    <row r="1293" spans="1:12" ht="12.75" customHeight="1" x14ac:dyDescent="0.2">
      <c r="A1293" s="91">
        <f t="shared" si="31"/>
        <v>1</v>
      </c>
      <c r="B1293" s="55" t="s">
        <v>1528</v>
      </c>
      <c r="C1293" s="55" t="s">
        <v>1528</v>
      </c>
      <c r="D1293" s="55" t="s">
        <v>1527</v>
      </c>
      <c r="E1293" s="55" t="s">
        <v>3440</v>
      </c>
      <c r="F1293" s="55" t="s">
        <v>1527</v>
      </c>
      <c r="G1293" s="55" t="s">
        <v>1529</v>
      </c>
      <c r="H1293" s="55" t="s">
        <v>2786</v>
      </c>
      <c r="I1293" s="55" t="s">
        <v>2848</v>
      </c>
      <c r="J1293" s="55" t="s">
        <v>1530</v>
      </c>
      <c r="K1293" s="55" t="s">
        <v>707</v>
      </c>
      <c r="L1293" s="55" t="s">
        <v>1531</v>
      </c>
    </row>
    <row r="1294" spans="1:12" ht="12.75" customHeight="1" x14ac:dyDescent="0.2">
      <c r="A1294" s="91">
        <f t="shared" si="31"/>
        <v>1</v>
      </c>
      <c r="B1294" s="55" t="s">
        <v>1751</v>
      </c>
      <c r="C1294" s="55" t="s">
        <v>1751</v>
      </c>
      <c r="D1294" s="55" t="s">
        <v>1750</v>
      </c>
      <c r="E1294" s="55" t="s">
        <v>3441</v>
      </c>
      <c r="F1294" s="55" t="s">
        <v>1750</v>
      </c>
      <c r="G1294" s="55" t="s">
        <v>1752</v>
      </c>
      <c r="H1294" s="55" t="s">
        <v>2775</v>
      </c>
      <c r="I1294" s="55" t="s">
        <v>2833</v>
      </c>
      <c r="J1294" s="55" t="s">
        <v>1753</v>
      </c>
      <c r="K1294" s="55" t="s">
        <v>707</v>
      </c>
      <c r="L1294" s="55" t="s">
        <v>1754</v>
      </c>
    </row>
    <row r="1295" spans="1:12" ht="12.75" customHeight="1" x14ac:dyDescent="0.2">
      <c r="A1295" s="91">
        <f t="shared" si="31"/>
        <v>1</v>
      </c>
      <c r="B1295" s="55" t="s">
        <v>2077</v>
      </c>
      <c r="C1295" s="55" t="s">
        <v>2077</v>
      </c>
      <c r="D1295" s="55" t="s">
        <v>2076</v>
      </c>
      <c r="E1295" s="55" t="s">
        <v>3442</v>
      </c>
      <c r="F1295" s="55" t="s">
        <v>2076</v>
      </c>
      <c r="G1295" s="55" t="s">
        <v>2078</v>
      </c>
      <c r="H1295" s="55" t="s">
        <v>2770</v>
      </c>
      <c r="I1295" s="55" t="s">
        <v>2789</v>
      </c>
      <c r="J1295" s="55" t="s">
        <v>1144</v>
      </c>
      <c r="K1295" s="55" t="s">
        <v>707</v>
      </c>
      <c r="L1295" s="55" t="s">
        <v>2079</v>
      </c>
    </row>
    <row r="1296" spans="1:12" ht="12.75" customHeight="1" x14ac:dyDescent="0.2">
      <c r="A1296" s="91">
        <f t="shared" si="31"/>
        <v>1</v>
      </c>
      <c r="B1296" s="55" t="s">
        <v>2695</v>
      </c>
      <c r="C1296" s="55" t="s">
        <v>2695</v>
      </c>
      <c r="D1296" s="55" t="s">
        <v>2694</v>
      </c>
      <c r="E1296" s="55" t="s">
        <v>3251</v>
      </c>
      <c r="F1296" s="55" t="s">
        <v>2694</v>
      </c>
      <c r="G1296" s="55" t="s">
        <v>2696</v>
      </c>
      <c r="H1296" s="55" t="s">
        <v>2775</v>
      </c>
      <c r="I1296" s="55" t="s">
        <v>2801</v>
      </c>
      <c r="J1296" s="55" t="s">
        <v>1763</v>
      </c>
      <c r="K1296" s="55" t="s">
        <v>707</v>
      </c>
      <c r="L1296" s="55" t="s">
        <v>1764</v>
      </c>
    </row>
    <row r="1297" spans="1:12" ht="12.75" customHeight="1" x14ac:dyDescent="0.2">
      <c r="A1297" s="91">
        <f t="shared" si="31"/>
        <v>1</v>
      </c>
      <c r="B1297" s="55" t="s">
        <v>2059</v>
      </c>
      <c r="C1297" s="55" t="s">
        <v>2059</v>
      </c>
      <c r="D1297" s="55" t="s">
        <v>2058</v>
      </c>
      <c r="E1297" s="55" t="s">
        <v>3295</v>
      </c>
      <c r="F1297" s="55" t="s">
        <v>2058</v>
      </c>
      <c r="G1297" s="55" t="s">
        <v>2060</v>
      </c>
      <c r="H1297" s="55" t="s">
        <v>2770</v>
      </c>
      <c r="I1297" s="55" t="s">
        <v>2789</v>
      </c>
      <c r="J1297" s="55" t="s">
        <v>1969</v>
      </c>
      <c r="K1297" s="55" t="s">
        <v>707</v>
      </c>
      <c r="L1297" s="55" t="s">
        <v>1970</v>
      </c>
    </row>
    <row r="1298" spans="1:12" ht="12.75" customHeight="1" x14ac:dyDescent="0.2">
      <c r="A1298" s="91">
        <f t="shared" si="31"/>
        <v>1</v>
      </c>
      <c r="B1298" s="55" t="s">
        <v>2038</v>
      </c>
      <c r="C1298" s="55" t="s">
        <v>2038</v>
      </c>
      <c r="D1298" s="55" t="s">
        <v>2037</v>
      </c>
      <c r="E1298" s="55" t="s">
        <v>3340</v>
      </c>
      <c r="F1298" s="55" t="s">
        <v>2037</v>
      </c>
      <c r="G1298" s="55" t="s">
        <v>2039</v>
      </c>
      <c r="H1298" s="55" t="s">
        <v>2770</v>
      </c>
      <c r="I1298" s="55" t="s">
        <v>2789</v>
      </c>
      <c r="J1298" s="55" t="s">
        <v>1879</v>
      </c>
      <c r="K1298" s="55" t="s">
        <v>707</v>
      </c>
      <c r="L1298" s="55" t="s">
        <v>1880</v>
      </c>
    </row>
    <row r="1299" spans="1:12" ht="12.75" customHeight="1" x14ac:dyDescent="0.2">
      <c r="A1299" s="91">
        <f t="shared" si="31"/>
        <v>1</v>
      </c>
      <c r="B1299" s="55" t="s">
        <v>1947</v>
      </c>
      <c r="C1299" s="55" t="s">
        <v>1947</v>
      </c>
      <c r="D1299" s="55" t="s">
        <v>1946</v>
      </c>
      <c r="E1299" s="55" t="s">
        <v>3341</v>
      </c>
      <c r="F1299" s="55" t="s">
        <v>1946</v>
      </c>
      <c r="G1299" s="55" t="s">
        <v>1948</v>
      </c>
      <c r="H1299" s="55" t="s">
        <v>2770</v>
      </c>
      <c r="I1299" s="55" t="s">
        <v>2827</v>
      </c>
      <c r="J1299" s="55" t="s">
        <v>1807</v>
      </c>
      <c r="K1299" s="55" t="s">
        <v>707</v>
      </c>
      <c r="L1299" s="55" t="s">
        <v>1808</v>
      </c>
    </row>
    <row r="1300" spans="1:12" ht="12.75" customHeight="1" x14ac:dyDescent="0.2">
      <c r="A1300" s="91">
        <f t="shared" si="31"/>
        <v>1</v>
      </c>
      <c r="B1300" s="55" t="s">
        <v>1870</v>
      </c>
      <c r="C1300" s="55" t="s">
        <v>1870</v>
      </c>
      <c r="D1300" s="55" t="s">
        <v>1869</v>
      </c>
      <c r="E1300" s="55" t="s">
        <v>3443</v>
      </c>
      <c r="F1300" s="55" t="s">
        <v>1869</v>
      </c>
      <c r="G1300" s="55" t="s">
        <v>1871</v>
      </c>
      <c r="H1300" s="55" t="s">
        <v>2770</v>
      </c>
      <c r="I1300" s="55" t="s">
        <v>2827</v>
      </c>
      <c r="J1300" s="55" t="s">
        <v>1812</v>
      </c>
      <c r="K1300" s="55" t="s">
        <v>707</v>
      </c>
      <c r="L1300" s="55" t="s">
        <v>1872</v>
      </c>
    </row>
    <row r="1301" spans="1:12" ht="12.75" customHeight="1" x14ac:dyDescent="0.2">
      <c r="A1301" s="91">
        <f t="shared" si="31"/>
        <v>1</v>
      </c>
      <c r="B1301" s="55" t="s">
        <v>3094</v>
      </c>
      <c r="C1301" s="55" t="s">
        <v>3094</v>
      </c>
      <c r="D1301" s="55" t="s">
        <v>1770</v>
      </c>
      <c r="E1301" s="55" t="s">
        <v>3444</v>
      </c>
      <c r="F1301" s="55" t="s">
        <v>1770</v>
      </c>
      <c r="G1301" s="55" t="s">
        <v>1772</v>
      </c>
      <c r="H1301" s="55" t="s">
        <v>2775</v>
      </c>
      <c r="I1301" s="55" t="s">
        <v>2794</v>
      </c>
      <c r="J1301" s="55" t="s">
        <v>1773</v>
      </c>
      <c r="K1301" s="55" t="s">
        <v>707</v>
      </c>
      <c r="L1301" s="55" t="s">
        <v>1774</v>
      </c>
    </row>
    <row r="1302" spans="1:12" ht="12.75" customHeight="1" x14ac:dyDescent="0.2">
      <c r="A1302" s="91">
        <f t="shared" si="31"/>
        <v>1</v>
      </c>
      <c r="B1302" s="55" t="s">
        <v>1062</v>
      </c>
      <c r="C1302" s="55" t="s">
        <v>1062</v>
      </c>
      <c r="D1302" s="55" t="s">
        <v>1061</v>
      </c>
      <c r="E1302" s="55" t="s">
        <v>3445</v>
      </c>
      <c r="F1302" s="55" t="s">
        <v>1061</v>
      </c>
      <c r="G1302" s="55" t="s">
        <v>1063</v>
      </c>
      <c r="H1302" s="55" t="s">
        <v>2772</v>
      </c>
      <c r="I1302" s="55" t="s">
        <v>2807</v>
      </c>
      <c r="J1302" s="55" t="s">
        <v>1064</v>
      </c>
      <c r="K1302" s="55" t="s">
        <v>707</v>
      </c>
      <c r="L1302" s="55" t="s">
        <v>1065</v>
      </c>
    </row>
    <row r="1303" spans="1:12" ht="12.75" customHeight="1" x14ac:dyDescent="0.2">
      <c r="A1303" s="91">
        <f t="shared" si="31"/>
        <v>1</v>
      </c>
      <c r="B1303" s="55" t="s">
        <v>1786</v>
      </c>
      <c r="C1303" s="55" t="s">
        <v>1786</v>
      </c>
      <c r="D1303" s="55" t="s">
        <v>1785</v>
      </c>
      <c r="E1303" s="55" t="s">
        <v>3241</v>
      </c>
      <c r="F1303" s="55" t="s">
        <v>1785</v>
      </c>
      <c r="G1303" s="55" t="s">
        <v>1787</v>
      </c>
      <c r="H1303" s="55" t="s">
        <v>2775</v>
      </c>
      <c r="I1303" s="55" t="s">
        <v>2777</v>
      </c>
      <c r="J1303" s="55" t="s">
        <v>1788</v>
      </c>
      <c r="K1303" s="55" t="s">
        <v>707</v>
      </c>
      <c r="L1303" s="55" t="s">
        <v>1789</v>
      </c>
    </row>
    <row r="1304" spans="1:12" ht="12.75" customHeight="1" x14ac:dyDescent="0.2">
      <c r="A1304" s="91">
        <f t="shared" si="31"/>
        <v>1</v>
      </c>
      <c r="B1304" s="55" t="s">
        <v>1877</v>
      </c>
      <c r="C1304" s="55" t="s">
        <v>1877</v>
      </c>
      <c r="D1304" s="55" t="s">
        <v>1876</v>
      </c>
      <c r="E1304" s="55" t="s">
        <v>3340</v>
      </c>
      <c r="F1304" s="55" t="s">
        <v>1876</v>
      </c>
      <c r="G1304" s="55" t="s">
        <v>1878</v>
      </c>
      <c r="H1304" s="55" t="s">
        <v>2770</v>
      </c>
      <c r="I1304" s="55" t="s">
        <v>2827</v>
      </c>
      <c r="J1304" s="55" t="s">
        <v>1879</v>
      </c>
      <c r="K1304" s="55" t="s">
        <v>707</v>
      </c>
      <c r="L1304" s="55" t="s">
        <v>1880</v>
      </c>
    </row>
    <row r="1305" spans="1:12" ht="12.75" customHeight="1" x14ac:dyDescent="0.2">
      <c r="A1305" s="91">
        <f t="shared" si="31"/>
        <v>1</v>
      </c>
      <c r="B1305" s="55" t="s">
        <v>1672</v>
      </c>
      <c r="C1305" s="55" t="s">
        <v>1672</v>
      </c>
      <c r="D1305" s="55" t="s">
        <v>1671</v>
      </c>
      <c r="E1305" s="55" t="s">
        <v>3338</v>
      </c>
      <c r="F1305" s="55" t="s">
        <v>1671</v>
      </c>
      <c r="G1305" s="55" t="s">
        <v>1673</v>
      </c>
      <c r="H1305" s="55" t="s">
        <v>2834</v>
      </c>
      <c r="I1305" s="55" t="s">
        <v>2835</v>
      </c>
      <c r="J1305" s="55" t="s">
        <v>1669</v>
      </c>
      <c r="K1305" s="55" t="s">
        <v>707</v>
      </c>
      <c r="L1305" s="55" t="s">
        <v>1670</v>
      </c>
    </row>
    <row r="1306" spans="1:12" ht="12.75" customHeight="1" x14ac:dyDescent="0.2">
      <c r="A1306" s="91">
        <f t="shared" si="31"/>
        <v>1</v>
      </c>
      <c r="B1306" s="55" t="s">
        <v>1582</v>
      </c>
      <c r="C1306" s="55" t="s">
        <v>1582</v>
      </c>
      <c r="D1306" s="55" t="s">
        <v>1581</v>
      </c>
      <c r="E1306" s="55" t="s">
        <v>3355</v>
      </c>
      <c r="F1306" s="55" t="s">
        <v>1581</v>
      </c>
      <c r="G1306" s="55" t="s">
        <v>1583</v>
      </c>
      <c r="H1306" s="55" t="s">
        <v>2786</v>
      </c>
      <c r="I1306" s="55" t="s">
        <v>2793</v>
      </c>
      <c r="J1306" s="55" t="s">
        <v>743</v>
      </c>
      <c r="K1306" s="55" t="s">
        <v>707</v>
      </c>
      <c r="L1306" s="55" t="s">
        <v>744</v>
      </c>
    </row>
    <row r="1307" spans="1:12" ht="12.75" customHeight="1" x14ac:dyDescent="0.2">
      <c r="A1307" s="91">
        <f t="shared" si="31"/>
        <v>1</v>
      </c>
      <c r="B1307" s="55" t="s">
        <v>803</v>
      </c>
      <c r="C1307" s="55" t="s">
        <v>803</v>
      </c>
      <c r="D1307" s="55" t="s">
        <v>802</v>
      </c>
      <c r="E1307" s="55" t="s">
        <v>3358</v>
      </c>
      <c r="F1307" s="55" t="s">
        <v>802</v>
      </c>
      <c r="G1307" s="55" t="s">
        <v>804</v>
      </c>
      <c r="H1307" s="55" t="s">
        <v>2804</v>
      </c>
      <c r="I1307" s="55" t="s">
        <v>2813</v>
      </c>
      <c r="J1307" s="55" t="s">
        <v>728</v>
      </c>
      <c r="K1307" s="55" t="s">
        <v>707</v>
      </c>
      <c r="L1307" s="55" t="s">
        <v>729</v>
      </c>
    </row>
    <row r="1308" spans="1:12" ht="12.75" customHeight="1" x14ac:dyDescent="0.2">
      <c r="A1308" s="91">
        <f t="shared" si="31"/>
        <v>1</v>
      </c>
      <c r="B1308" s="55" t="s">
        <v>815</v>
      </c>
      <c r="C1308" s="55" t="s">
        <v>815</v>
      </c>
      <c r="D1308" s="55" t="s">
        <v>814</v>
      </c>
      <c r="E1308" s="55" t="s">
        <v>3189</v>
      </c>
      <c r="F1308" s="55" t="s">
        <v>814</v>
      </c>
      <c r="G1308" s="55" t="s">
        <v>816</v>
      </c>
      <c r="H1308" s="55" t="s">
        <v>2762</v>
      </c>
      <c r="I1308" s="55" t="s">
        <v>2766</v>
      </c>
      <c r="J1308" s="55" t="s">
        <v>817</v>
      </c>
      <c r="K1308" s="55" t="s">
        <v>707</v>
      </c>
      <c r="L1308" s="55" t="s">
        <v>818</v>
      </c>
    </row>
    <row r="1309" spans="1:12" ht="12.75" customHeight="1" x14ac:dyDescent="0.2">
      <c r="A1309" s="91">
        <f t="shared" si="31"/>
        <v>1</v>
      </c>
      <c r="B1309" s="55" t="s">
        <v>846</v>
      </c>
      <c r="C1309" s="55" t="s">
        <v>846</v>
      </c>
      <c r="D1309" s="55" t="s">
        <v>845</v>
      </c>
      <c r="E1309" s="55" t="s">
        <v>3331</v>
      </c>
      <c r="F1309" s="55" t="s">
        <v>845</v>
      </c>
      <c r="G1309" s="55" t="s">
        <v>847</v>
      </c>
      <c r="H1309" s="55" t="s">
        <v>2786</v>
      </c>
      <c r="I1309" s="55" t="s">
        <v>2795</v>
      </c>
      <c r="J1309" s="55" t="s">
        <v>848</v>
      </c>
      <c r="K1309" s="55" t="s">
        <v>707</v>
      </c>
      <c r="L1309" s="55" t="s">
        <v>849</v>
      </c>
    </row>
    <row r="1310" spans="1:12" ht="12.75" customHeight="1" x14ac:dyDescent="0.2">
      <c r="A1310" s="91">
        <f t="shared" si="31"/>
        <v>1</v>
      </c>
      <c r="B1310" s="55" t="s">
        <v>841</v>
      </c>
      <c r="C1310" s="55" t="s">
        <v>841</v>
      </c>
      <c r="D1310" s="55" t="s">
        <v>840</v>
      </c>
      <c r="E1310" s="55" t="s">
        <v>3190</v>
      </c>
      <c r="F1310" s="55" t="s">
        <v>840</v>
      </c>
      <c r="G1310" s="55" t="s">
        <v>842</v>
      </c>
      <c r="H1310" s="55" t="s">
        <v>2759</v>
      </c>
      <c r="I1310" s="55" t="s">
        <v>2760</v>
      </c>
      <c r="J1310" s="55" t="s">
        <v>843</v>
      </c>
      <c r="K1310" s="55" t="s">
        <v>707</v>
      </c>
      <c r="L1310" s="55" t="s">
        <v>844</v>
      </c>
    </row>
    <row r="1311" spans="1:12" ht="12.75" customHeight="1" x14ac:dyDescent="0.2">
      <c r="A1311" s="91">
        <f t="shared" si="31"/>
        <v>1</v>
      </c>
      <c r="B1311" s="55" t="s">
        <v>811</v>
      </c>
      <c r="C1311" s="55" t="s">
        <v>811</v>
      </c>
      <c r="D1311" s="55" t="s">
        <v>810</v>
      </c>
      <c r="E1311" s="55" t="s">
        <v>3446</v>
      </c>
      <c r="F1311" s="55" t="s">
        <v>810</v>
      </c>
      <c r="G1311" s="55" t="s">
        <v>3061</v>
      </c>
      <c r="H1311" s="55" t="s">
        <v>2762</v>
      </c>
      <c r="I1311" s="55" t="s">
        <v>2763</v>
      </c>
      <c r="J1311" s="55" t="s">
        <v>3062</v>
      </c>
      <c r="K1311" s="55" t="s">
        <v>707</v>
      </c>
      <c r="L1311" s="55" t="s">
        <v>1394</v>
      </c>
    </row>
    <row r="1312" spans="1:12" ht="12.75" customHeight="1" x14ac:dyDescent="0.2">
      <c r="A1312" s="91">
        <f t="shared" si="31"/>
        <v>1</v>
      </c>
      <c r="B1312" s="55" t="s">
        <v>830</v>
      </c>
      <c r="C1312" s="55" t="s">
        <v>830</v>
      </c>
      <c r="D1312" s="55" t="s">
        <v>829</v>
      </c>
      <c r="E1312" s="55" t="s">
        <v>3447</v>
      </c>
      <c r="F1312" s="55" t="s">
        <v>829</v>
      </c>
      <c r="G1312" s="55" t="s">
        <v>831</v>
      </c>
      <c r="H1312" s="55" t="s">
        <v>2762</v>
      </c>
      <c r="I1312" s="55" t="s">
        <v>2769</v>
      </c>
      <c r="J1312" s="55" t="s">
        <v>808</v>
      </c>
      <c r="K1312" s="55" t="s">
        <v>707</v>
      </c>
      <c r="L1312" s="55" t="s">
        <v>809</v>
      </c>
    </row>
    <row r="1313" spans="1:12" ht="12.75" customHeight="1" x14ac:dyDescent="0.2">
      <c r="A1313" s="91">
        <f t="shared" si="31"/>
        <v>1</v>
      </c>
      <c r="B1313" s="55" t="s">
        <v>833</v>
      </c>
      <c r="C1313" s="55" t="s">
        <v>833</v>
      </c>
      <c r="D1313" s="55" t="s">
        <v>832</v>
      </c>
      <c r="E1313" s="55" t="s">
        <v>3188</v>
      </c>
      <c r="F1313" s="55" t="s">
        <v>832</v>
      </c>
      <c r="G1313" s="55" t="s">
        <v>834</v>
      </c>
      <c r="H1313" s="55" t="s">
        <v>2767</v>
      </c>
      <c r="I1313" s="55" t="s">
        <v>2768</v>
      </c>
      <c r="J1313" s="55" t="s">
        <v>835</v>
      </c>
      <c r="K1313" s="55" t="s">
        <v>707</v>
      </c>
      <c r="L1313" s="55" t="s">
        <v>836</v>
      </c>
    </row>
    <row r="1314" spans="1:12" ht="12.75" customHeight="1" x14ac:dyDescent="0.2">
      <c r="A1314" s="91">
        <f t="shared" si="31"/>
        <v>1</v>
      </c>
      <c r="B1314" s="55" t="s">
        <v>825</v>
      </c>
      <c r="C1314" s="55" t="s">
        <v>825</v>
      </c>
      <c r="D1314" s="55" t="s">
        <v>824</v>
      </c>
      <c r="E1314" s="55" t="s">
        <v>3186</v>
      </c>
      <c r="F1314" s="55" t="s">
        <v>824</v>
      </c>
      <c r="G1314" s="55" t="s">
        <v>826</v>
      </c>
      <c r="H1314" s="55" t="s">
        <v>2762</v>
      </c>
      <c r="I1314" s="55" t="s">
        <v>2763</v>
      </c>
      <c r="J1314" s="55" t="s">
        <v>827</v>
      </c>
      <c r="K1314" s="55" t="s">
        <v>707</v>
      </c>
      <c r="L1314" s="55" t="s">
        <v>828</v>
      </c>
    </row>
    <row r="1315" spans="1:12" ht="12.75" customHeight="1" x14ac:dyDescent="0.2">
      <c r="A1315" s="91">
        <f t="shared" si="31"/>
        <v>1</v>
      </c>
      <c r="B1315" s="55" t="s">
        <v>820</v>
      </c>
      <c r="C1315" s="55" t="s">
        <v>820</v>
      </c>
      <c r="D1315" s="55" t="s">
        <v>819</v>
      </c>
      <c r="E1315" s="55" t="s">
        <v>3236</v>
      </c>
      <c r="F1315" s="55" t="s">
        <v>819</v>
      </c>
      <c r="G1315" s="55" t="s">
        <v>821</v>
      </c>
      <c r="H1315" s="55" t="s">
        <v>2762</v>
      </c>
      <c r="I1315" s="55" t="s">
        <v>2774</v>
      </c>
      <c r="J1315" s="55" t="s">
        <v>822</v>
      </c>
      <c r="K1315" s="55" t="s">
        <v>707</v>
      </c>
      <c r="L1315" s="55" t="s">
        <v>823</v>
      </c>
    </row>
    <row r="1316" spans="1:12" ht="12.75" customHeight="1" x14ac:dyDescent="0.2">
      <c r="A1316" s="91">
        <f t="shared" si="31"/>
        <v>1</v>
      </c>
      <c r="B1316" s="55" t="s">
        <v>1197</v>
      </c>
      <c r="C1316" s="55" t="s">
        <v>1197</v>
      </c>
      <c r="D1316" s="55" t="s">
        <v>1196</v>
      </c>
      <c r="E1316" s="55" t="s">
        <v>3215</v>
      </c>
      <c r="F1316" s="55" t="s">
        <v>1196</v>
      </c>
      <c r="G1316" s="55" t="s">
        <v>1198</v>
      </c>
      <c r="H1316" s="55" t="s">
        <v>2772</v>
      </c>
      <c r="I1316" s="55" t="s">
        <v>2806</v>
      </c>
      <c r="J1316" s="55" t="s">
        <v>940</v>
      </c>
      <c r="K1316" s="55" t="s">
        <v>707</v>
      </c>
      <c r="L1316" s="55" t="s">
        <v>941</v>
      </c>
    </row>
    <row r="1317" spans="1:12" ht="12.75" customHeight="1" x14ac:dyDescent="0.2">
      <c r="A1317" s="91">
        <f t="shared" si="31"/>
        <v>1</v>
      </c>
      <c r="B1317" s="55" t="s">
        <v>1882</v>
      </c>
      <c r="C1317" s="55" t="s">
        <v>1882</v>
      </c>
      <c r="D1317" s="55" t="s">
        <v>1881</v>
      </c>
      <c r="E1317" s="55" t="s">
        <v>3448</v>
      </c>
      <c r="F1317" s="55" t="s">
        <v>1881</v>
      </c>
      <c r="G1317" s="55" t="s">
        <v>1883</v>
      </c>
      <c r="H1317" s="55" t="s">
        <v>2770</v>
      </c>
      <c r="I1317" s="55" t="s">
        <v>2855</v>
      </c>
      <c r="J1317" s="55" t="s">
        <v>1884</v>
      </c>
      <c r="K1317" s="55" t="s">
        <v>707</v>
      </c>
      <c r="L1317" s="55" t="s">
        <v>1885</v>
      </c>
    </row>
    <row r="1318" spans="1:12" ht="12.75" customHeight="1" x14ac:dyDescent="0.2">
      <c r="A1318" s="91">
        <f t="shared" si="31"/>
        <v>1</v>
      </c>
      <c r="B1318" s="55" t="s">
        <v>1887</v>
      </c>
      <c r="C1318" s="55" t="s">
        <v>1887</v>
      </c>
      <c r="D1318" s="55" t="s">
        <v>1886</v>
      </c>
      <c r="E1318" s="55" t="s">
        <v>3449</v>
      </c>
      <c r="F1318" s="55" t="s">
        <v>1886</v>
      </c>
      <c r="G1318" s="55" t="s">
        <v>1888</v>
      </c>
      <c r="H1318" s="55" t="s">
        <v>2770</v>
      </c>
      <c r="I1318" s="55" t="s">
        <v>2855</v>
      </c>
      <c r="J1318" s="55" t="s">
        <v>1889</v>
      </c>
      <c r="K1318" s="55" t="s">
        <v>707</v>
      </c>
      <c r="L1318" s="55" t="s">
        <v>1890</v>
      </c>
    </row>
    <row r="1319" spans="1:12" ht="12.75" customHeight="1" x14ac:dyDescent="0.2">
      <c r="A1319" s="91">
        <f t="shared" si="31"/>
        <v>1</v>
      </c>
      <c r="B1319" s="55" t="s">
        <v>2395</v>
      </c>
      <c r="C1319" s="55" t="s">
        <v>2395</v>
      </c>
      <c r="D1319" s="55" t="s">
        <v>2394</v>
      </c>
      <c r="E1319" s="55" t="s">
        <v>3450</v>
      </c>
      <c r="F1319" s="55" t="s">
        <v>2394</v>
      </c>
      <c r="G1319" s="55" t="s">
        <v>2396</v>
      </c>
      <c r="H1319" s="55" t="s">
        <v>2791</v>
      </c>
      <c r="I1319" s="55" t="s">
        <v>2853</v>
      </c>
      <c r="J1319" s="55" t="s">
        <v>2397</v>
      </c>
      <c r="K1319" s="55" t="s">
        <v>707</v>
      </c>
      <c r="L1319" s="55" t="s">
        <v>2398</v>
      </c>
    </row>
    <row r="1320" spans="1:12" ht="12.75" customHeight="1" x14ac:dyDescent="0.2">
      <c r="A1320" s="91">
        <f t="shared" si="31"/>
        <v>1</v>
      </c>
      <c r="B1320" s="55" t="s">
        <v>3107</v>
      </c>
      <c r="C1320" s="55" t="s">
        <v>3107</v>
      </c>
      <c r="D1320" s="55" t="s">
        <v>3108</v>
      </c>
      <c r="E1320" s="55" t="s">
        <v>3222</v>
      </c>
      <c r="F1320" s="55" t="s">
        <v>3108</v>
      </c>
      <c r="G1320" s="55" t="s">
        <v>1987</v>
      </c>
      <c r="H1320" s="55" t="s">
        <v>2770</v>
      </c>
      <c r="I1320" s="55" t="s">
        <v>2764</v>
      </c>
      <c r="J1320" s="55" t="s">
        <v>1988</v>
      </c>
      <c r="K1320" s="55" t="s">
        <v>1489</v>
      </c>
      <c r="L1320" s="55" t="s">
        <v>1989</v>
      </c>
    </row>
    <row r="1321" spans="1:12" ht="12.75" customHeight="1" x14ac:dyDescent="0.2">
      <c r="A1321" s="91">
        <f t="shared" si="31"/>
        <v>1</v>
      </c>
      <c r="B1321" s="55" t="s">
        <v>2084</v>
      </c>
      <c r="C1321" s="55" t="s">
        <v>2084</v>
      </c>
      <c r="D1321" s="55" t="s">
        <v>2083</v>
      </c>
      <c r="E1321" s="55" t="s">
        <v>3223</v>
      </c>
      <c r="F1321" s="55" t="s">
        <v>2083</v>
      </c>
      <c r="G1321" s="55" t="s">
        <v>1487</v>
      </c>
      <c r="H1321" s="55" t="s">
        <v>2791</v>
      </c>
      <c r="I1321" s="55" t="s">
        <v>1489</v>
      </c>
      <c r="J1321" s="55" t="s">
        <v>1488</v>
      </c>
      <c r="K1321" s="55" t="s">
        <v>1489</v>
      </c>
      <c r="L1321" s="55" t="s">
        <v>1490</v>
      </c>
    </row>
    <row r="1322" spans="1:12" ht="12.75" customHeight="1" x14ac:dyDescent="0.2">
      <c r="A1322" s="91">
        <f t="shared" si="31"/>
        <v>1</v>
      </c>
      <c r="B1322" s="55" t="s">
        <v>1209</v>
      </c>
      <c r="C1322" s="55" t="s">
        <v>1209</v>
      </c>
      <c r="D1322" s="55" t="s">
        <v>1208</v>
      </c>
      <c r="E1322" s="55" t="s">
        <v>3188</v>
      </c>
      <c r="F1322" s="55" t="s">
        <v>1208</v>
      </c>
      <c r="G1322" s="55" t="s">
        <v>834</v>
      </c>
      <c r="H1322" s="55" t="s">
        <v>2767</v>
      </c>
      <c r="I1322" s="55" t="s">
        <v>2768</v>
      </c>
      <c r="J1322" s="55" t="s">
        <v>835</v>
      </c>
      <c r="K1322" s="55" t="s">
        <v>707</v>
      </c>
      <c r="L1322" s="55" t="s">
        <v>836</v>
      </c>
    </row>
    <row r="1323" spans="1:12" ht="12.75" customHeight="1" x14ac:dyDescent="0.2">
      <c r="A1323" s="91">
        <f t="shared" si="31"/>
        <v>1</v>
      </c>
      <c r="B1323" s="55" t="s">
        <v>1204</v>
      </c>
      <c r="C1323" s="55" t="s">
        <v>1204</v>
      </c>
      <c r="D1323" s="55" t="s">
        <v>1203</v>
      </c>
      <c r="E1323" s="55" t="s">
        <v>3451</v>
      </c>
      <c r="F1323" s="55" t="s">
        <v>1203</v>
      </c>
      <c r="G1323" s="55" t="s">
        <v>1205</v>
      </c>
      <c r="H1323" s="55" t="s">
        <v>2767</v>
      </c>
      <c r="I1323" s="55" t="s">
        <v>2856</v>
      </c>
      <c r="J1323" s="55" t="s">
        <v>1206</v>
      </c>
      <c r="K1323" s="55" t="s">
        <v>707</v>
      </c>
      <c r="L1323" s="55" t="s">
        <v>1207</v>
      </c>
    </row>
  </sheetData>
  <sheetProtection algorithmName="SHA-512" hashValue="y291k6vAJebHmWs1h1lSJM9sSr3Sm0I/6vTpaQ4wr2d1feuDYkMe9Of0LmXp3J0fGGm4KV3k0toY4EBzy9QRlw==" saltValue="HNF80ERfy0bPdO4ENx0kcA==" spinCount="100000" sheet="1" selectLockedCells="1" selectUnlockedCells="1"/>
  <autoFilter ref="B1:L622" xr:uid="{583160F5-47B1-4BBE-A492-B2C6C201D5F4}"/>
  <sortState xmlns:xlrd2="http://schemas.microsoft.com/office/spreadsheetml/2017/richdata2" ref="B2:L624">
    <sortCondition ref="B2:B624"/>
  </sortState>
  <phoneticPr fontId="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622D1C1-D309-43BD-B5D9-5AC4BBBF8C28}">
  <ds:schemaRefs>
    <ds:schemaRef ds:uri="http://purl.org/dc/elements/1.1/"/>
    <ds:schemaRef ds:uri="http://schemas.microsoft.com/office/2006/metadata/properties"/>
    <ds:schemaRef ds:uri="6a2368ab-a432-4923-944c-869de255f87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68CF70E-E475-4139-9FE8-5E57ACCAEA3C}"/>
</file>

<file path=customXml/itemProps3.xml><?xml version="1.0" encoding="utf-8"?>
<ds:datastoreItem xmlns:ds="http://schemas.openxmlformats.org/officeDocument/2006/customXml" ds:itemID="{71CE40A6-BB63-46BA-BDBD-38AA852DF1E9}">
  <ds:schemaRefs>
    <ds:schemaRef ds:uri="http://schemas.microsoft.com/sharepoint/v3/contenttype/forms"/>
  </ds:schemaRefs>
</ds:datastoreItem>
</file>

<file path=customXml/itemProps4.xml><?xml version="1.0" encoding="utf-8"?>
<ds:datastoreItem xmlns:ds="http://schemas.openxmlformats.org/officeDocument/2006/customXml" ds:itemID="{845884F8-1BF3-487F-9668-00E8AEE3E37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Plant_Information</vt:lpstr>
      <vt:lpstr>CURRENT APPROVED PLANT LIST</vt:lpstr>
      <vt:lpstr>Aggregate, Plant Pick-up</vt:lpstr>
      <vt:lpstr>HAULING RATES- ODOT Locations</vt:lpstr>
      <vt:lpstr> HAULING RATES- Other Locations</vt:lpstr>
      <vt:lpstr>Header</vt:lpstr>
      <vt:lpstr>PULL DATA</vt:lpstr>
      <vt:lpstr>PS</vt:lpstr>
      <vt:lpstr>Counties</vt:lpstr>
      <vt:lpstr>Option</vt:lpstr>
      <vt:lpstr>'CURRENT APPROVED PLANT LIST'!PlantName</vt:lpstr>
      <vt:lpstr>PlantName</vt:lpstr>
      <vt:lpstr>'HAULING RATES- ODOT Locations'!Print_Titles</vt:lpstr>
      <vt:lpstr>'CURRENT APPROVED PLANT LIST'!PSCode</vt:lpstr>
      <vt:lpstr>PSCode</vt:lpstr>
      <vt:lpstr>PSP</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800Pricing</dc:title>
  <dc:subject/>
  <dc:creator>brenda s hill</dc:creator>
  <cp:keywords/>
  <dc:description/>
  <cp:lastModifiedBy>Keith Rogers</cp:lastModifiedBy>
  <cp:lastPrinted>2016-01-28T19:25:00Z</cp:lastPrinted>
  <dcterms:created xsi:type="dcterms:W3CDTF">2006-04-20T19:00:42Z</dcterms:created>
  <dcterms:modified xsi:type="dcterms:W3CDTF">2021-02-17T21:19:13Z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y fmtid="{D5CDD505-2E9C-101B-9397-08002B2CF9AE}" pid="3" name="Subject">
    <vt:lpwstr/>
  </property>
  <property fmtid="{D5CDD505-2E9C-101B-9397-08002B2CF9AE}" pid="4" name="Keywords">
    <vt:lpwstr/>
  </property>
  <property fmtid="{D5CDD505-2E9C-101B-9397-08002B2CF9AE}" pid="5" name="_Author">
    <vt:lpwstr>brenda s hill</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y fmtid="{D5CDD505-2E9C-101B-9397-08002B2CF9AE}" pid="11" name="ContentType">
    <vt:lpwstr>Document</vt:lpwstr>
  </property>
</Properties>
</file>